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15" windowWidth="11580" windowHeight="411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фінансування'!$A$1:$I$151</definedName>
  </definedNames>
  <calcPr fullCalcOnLoad="1"/>
</workbook>
</file>

<file path=xl/sharedStrings.xml><?xml version="1.0" encoding="utf-8"?>
<sst xmlns="http://schemas.openxmlformats.org/spreadsheetml/2006/main" count="156" uniqueCount="111">
  <si>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</si>
  <si>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</si>
  <si>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</si>
  <si>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</si>
  <si>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</si>
  <si>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</si>
  <si>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</si>
  <si>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</si>
  <si>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</si>
  <si>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</si>
  <si>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</si>
  <si>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</si>
  <si>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</si>
  <si>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</si>
  <si>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</si>
  <si>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</si>
  <si>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</si>
  <si>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</si>
  <si>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</si>
  <si>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</si>
  <si>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</si>
  <si>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</si>
  <si>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</si>
  <si>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</si>
  <si>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</si>
  <si>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</si>
  <si>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</si>
  <si>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</si>
  <si>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</si>
  <si>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</si>
  <si>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</si>
  <si>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</si>
  <si>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</si>
  <si>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</si>
  <si>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</si>
  <si>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</si>
  <si>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</si>
  <si>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</si>
  <si>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</si>
  <si>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</si>
  <si>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</si>
  <si>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</si>
  <si>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</si>
  <si>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</si>
  <si>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</si>
  <si>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</si>
  <si>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</si>
  <si>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</si>
  <si>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</si>
  <si>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</si>
  <si>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</si>
  <si>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</si>
  <si>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</si>
  <si>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</si>
  <si>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</si>
  <si>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</si>
  <si>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</si>
  <si>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</si>
  <si>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</si>
  <si>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</si>
  <si>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</si>
  <si>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</si>
  <si>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</si>
  <si>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</si>
  <si>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</si>
  <si>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</si>
  <si>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</si>
  <si>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</si>
  <si>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</si>
  <si>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</si>
  <si>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</si>
  <si>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</si>
  <si>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</si>
  <si>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</si>
  <si>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</si>
  <si>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</si>
  <si>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</si>
  <si>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</si>
  <si>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</si>
  <si>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</si>
  <si>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</si>
  <si>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</si>
  <si>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</si>
  <si>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</si>
  <si>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</si>
  <si>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</si>
  <si>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</si>
  <si>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</si>
  <si>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</si>
  <si>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</si>
  <si>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</si>
  <si>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</si>
  <si>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</si>
  <si>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</si>
  <si>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</si>
  <si>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</si>
  <si>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</si>
  <si>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</si>
  <si>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</si>
  <si>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</si>
  <si>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</si>
  <si>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</si>
  <si>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</si>
  <si>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</si>
  <si>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</si>
  <si>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</si>
  <si>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</si>
  <si>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план на 7 місяців, тис.грн.</t>
  </si>
  <si>
    <t>Відсоток виконання плану 7 місяців</t>
  </si>
  <si>
    <t>Відхилення від плану 7 місяців, тис.грн.</t>
  </si>
  <si>
    <t>Аналіз використання коштів міського бюджету за 2014 рік станом на 30.07.2014 року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</si>
</sst>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%"/>
    <numFmt numFmtId="173" formatCode="0.0"/>
    <numFmt numFmtId="174" formatCode="#,##0.0"/>
    <numFmt numFmtId="175" formatCode="#,##0.00000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sz val="14.7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2" fillId="0" borderId="0">
      <alignment/>
      <protection/>
    </xf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32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32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32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32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32" borderId="13" xfId="0" applyNumberFormat="1" applyFont="1" applyFill="1" applyBorder="1" applyAlignment="1">
      <alignment wrapText="1"/>
    </xf>
    <xf numFmtId="174" fontId="4" fillId="32" borderId="13" xfId="0" applyNumberFormat="1" applyFont="1" applyFill="1" applyBorder="1" applyAlignment="1">
      <alignment/>
    </xf>
    <xf numFmtId="174" fontId="4" fillId="32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32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32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4" fillId="32" borderId="13" xfId="0" applyNumberFormat="1" applyFont="1" applyFill="1" applyBorder="1" applyAlignment="1">
      <alignment horizontal="right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32" borderId="17" xfId="0" applyNumberFormat="1" applyFont="1" applyFill="1" applyBorder="1" applyAlignment="1">
      <alignment wrapText="1"/>
    </xf>
    <xf numFmtId="174" fontId="4" fillId="32" borderId="17" xfId="0" applyNumberFormat="1" applyFont="1" applyFill="1" applyBorder="1" applyAlignment="1">
      <alignment/>
    </xf>
    <xf numFmtId="174" fontId="4" fillId="32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32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32" borderId="16" xfId="0" applyFont="1" applyFill="1" applyBorder="1" applyAlignment="1">
      <alignment wrapText="1"/>
    </xf>
    <xf numFmtId="174" fontId="4" fillId="32" borderId="16" xfId="0" applyNumberFormat="1" applyFont="1" applyFill="1" applyBorder="1" applyAlignment="1">
      <alignment/>
    </xf>
    <xf numFmtId="173" fontId="4" fillId="32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0" fillId="33" borderId="0" xfId="0" applyFont="1" applyFill="1" applyAlignment="1">
      <alignment/>
    </xf>
    <xf numFmtId="174" fontId="5" fillId="32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174" fontId="4" fillId="32" borderId="13" xfId="0" applyNumberFormat="1" applyFont="1" applyFill="1" applyBorder="1" applyAlignment="1">
      <alignment vertical="center" wrapText="1"/>
    </xf>
    <xf numFmtId="173" fontId="14" fillId="32" borderId="11" xfId="0" applyNumberFormat="1" applyFont="1" applyFill="1" applyBorder="1" applyAlignment="1">
      <alignment/>
    </xf>
    <xf numFmtId="173" fontId="4" fillId="34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44963</c:v>
                </c:pt>
                <c:pt idx="1">
                  <c:v>38012.3</c:v>
                </c:pt>
                <c:pt idx="2">
                  <c:v>1917.6</c:v>
                </c:pt>
                <c:pt idx="3">
                  <c:v>5033.099999999997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26061.500000000007</c:v>
                </c:pt>
                <c:pt idx="1">
                  <c:v>22190.100000000002</c:v>
                </c:pt>
                <c:pt idx="2">
                  <c:v>1088.3000000000002</c:v>
                </c:pt>
                <c:pt idx="3">
                  <c:v>2783.100000000005</c:v>
                </c:pt>
              </c:numCache>
            </c:numRef>
          </c:val>
          <c:shape val="box"/>
        </c:ser>
        <c:shape val="box"/>
        <c:axId val="32988995"/>
        <c:axId val="26203752"/>
      </c:bar3DChart>
      <c:catAx>
        <c:axId val="32988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6203752"/>
        <c:crosses val="autoZero"/>
        <c:auto val="1"/>
        <c:lblOffset val="100"/>
        <c:tickLblSkip val="1"/>
        <c:noMultiLvlLbl val="0"/>
      </c:catAx>
      <c:valAx>
        <c:axId val="262037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889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274358.2</c:v>
                </c:pt>
                <c:pt idx="1">
                  <c:v>215205.30000000002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281.8</c:v>
                </c:pt>
                <c:pt idx="6">
                  <c:v>2277.299999999991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169386.40000000002</c:v>
                </c:pt>
                <c:pt idx="1">
                  <c:v>138122.99999999997</c:v>
                </c:pt>
                <c:pt idx="2">
                  <c:v>11.700000000000001</c:v>
                </c:pt>
                <c:pt idx="3">
                  <c:v>9572.500000000002</c:v>
                </c:pt>
                <c:pt idx="4">
                  <c:v>20763.2</c:v>
                </c:pt>
                <c:pt idx="5">
                  <c:v>181.4</c:v>
                </c:pt>
                <c:pt idx="6">
                  <c:v>734.6000000000473</c:v>
                </c:pt>
              </c:numCache>
            </c:numRef>
          </c:val>
          <c:shape val="box"/>
        </c:ser>
        <c:shape val="box"/>
        <c:axId val="5104457"/>
        <c:axId val="66357942"/>
      </c:bar3DChart>
      <c:catAx>
        <c:axId val="5104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357942"/>
        <c:crosses val="autoZero"/>
        <c:auto val="1"/>
        <c:lblOffset val="100"/>
        <c:tickLblSkip val="1"/>
        <c:noMultiLvlLbl val="0"/>
      </c:catAx>
      <c:valAx>
        <c:axId val="663579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445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95"/>
          <c:y val="0.15625"/>
          <c:w val="0.8405"/>
          <c:h val="0.65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177767.7</c:v>
                </c:pt>
                <c:pt idx="1">
                  <c:v>133403.5</c:v>
                </c:pt>
                <c:pt idx="2">
                  <c:v>7818.6</c:v>
                </c:pt>
                <c:pt idx="3">
                  <c:v>2836.6</c:v>
                </c:pt>
                <c:pt idx="4">
                  <c:v>19353.6</c:v>
                </c:pt>
                <c:pt idx="5">
                  <c:v>1388.5</c:v>
                </c:pt>
                <c:pt idx="6">
                  <c:v>12966.900000000016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114401.80000000002</c:v>
                </c:pt>
                <c:pt idx="1">
                  <c:v>92181.59999999999</c:v>
                </c:pt>
                <c:pt idx="2">
                  <c:v>2410.5999999999995</c:v>
                </c:pt>
                <c:pt idx="3">
                  <c:v>1449.5</c:v>
                </c:pt>
                <c:pt idx="4">
                  <c:v>9962.999999999998</c:v>
                </c:pt>
                <c:pt idx="5">
                  <c:v>827.6</c:v>
                </c:pt>
                <c:pt idx="6">
                  <c:v>7569.500000000029</c:v>
                </c:pt>
              </c:numCache>
            </c:numRef>
          </c:val>
          <c:shape val="box"/>
        </c:ser>
        <c:shape val="box"/>
        <c:axId val="57346879"/>
        <c:axId val="7311924"/>
      </c:bar3DChart>
      <c:catAx>
        <c:axId val="57346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311924"/>
        <c:crosses val="autoZero"/>
        <c:auto val="1"/>
        <c:lblOffset val="100"/>
        <c:tickLblSkip val="1"/>
        <c:noMultiLvlLbl val="0"/>
      </c:catAx>
      <c:valAx>
        <c:axId val="73119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468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9"/>
          <c:y val="0.15475"/>
          <c:w val="0.8625"/>
          <c:h val="0.59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37525.8</c:v>
                </c:pt>
                <c:pt idx="1">
                  <c:v>28215</c:v>
                </c:pt>
                <c:pt idx="2">
                  <c:v>1733.2</c:v>
                </c:pt>
                <c:pt idx="3">
                  <c:v>715.3</c:v>
                </c:pt>
                <c:pt idx="4">
                  <c:v>25.200000000000003</c:v>
                </c:pt>
                <c:pt idx="5">
                  <c:v>6837.100000000003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22513.59999999999</c:v>
                </c:pt>
                <c:pt idx="1">
                  <c:v>17599.1</c:v>
                </c:pt>
                <c:pt idx="2">
                  <c:v>697.7999999999998</c:v>
                </c:pt>
                <c:pt idx="3">
                  <c:v>207.29999999999998</c:v>
                </c:pt>
                <c:pt idx="4">
                  <c:v>18</c:v>
                </c:pt>
                <c:pt idx="5">
                  <c:v>3991.3999999999924</c:v>
                </c:pt>
              </c:numCache>
            </c:numRef>
          </c:val>
          <c:shape val="box"/>
        </c:ser>
        <c:shape val="box"/>
        <c:axId val="27946149"/>
        <c:axId val="27755618"/>
      </c:bar3DChart>
      <c:catAx>
        <c:axId val="27946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755618"/>
        <c:crosses val="autoZero"/>
        <c:auto val="1"/>
        <c:lblOffset val="100"/>
        <c:tickLblSkip val="1"/>
        <c:noMultiLvlLbl val="0"/>
      </c:catAx>
      <c:valAx>
        <c:axId val="277556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461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12140.199999999999</c:v>
                </c:pt>
                <c:pt idx="1">
                  <c:v>7492.1</c:v>
                </c:pt>
                <c:pt idx="2">
                  <c:v>9.7</c:v>
                </c:pt>
                <c:pt idx="3">
                  <c:v>325</c:v>
                </c:pt>
                <c:pt idx="4">
                  <c:v>534.1</c:v>
                </c:pt>
                <c:pt idx="5">
                  <c:v>3779.2999999999984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6660</c:v>
                </c:pt>
                <c:pt idx="1">
                  <c:v>4382.299999999999</c:v>
                </c:pt>
                <c:pt idx="3">
                  <c:v>97.00000000000001</c:v>
                </c:pt>
                <c:pt idx="4">
                  <c:v>227.39999999999992</c:v>
                </c:pt>
                <c:pt idx="5">
                  <c:v>1953.3000000000006</c:v>
                </c:pt>
              </c:numCache>
            </c:numRef>
          </c:val>
          <c:shape val="box"/>
        </c:ser>
        <c:shape val="box"/>
        <c:axId val="25278715"/>
        <c:axId val="60187840"/>
      </c:bar3DChart>
      <c:catAx>
        <c:axId val="25278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187840"/>
        <c:crosses val="autoZero"/>
        <c:auto val="1"/>
        <c:lblOffset val="100"/>
        <c:tickLblSkip val="2"/>
        <c:noMultiLvlLbl val="0"/>
      </c:catAx>
      <c:valAx>
        <c:axId val="601878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787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3018.8</c:v>
                </c:pt>
                <c:pt idx="1">
                  <c:v>1702</c:v>
                </c:pt>
                <c:pt idx="2">
                  <c:v>188.9</c:v>
                </c:pt>
                <c:pt idx="3">
                  <c:v>287.9</c:v>
                </c:pt>
                <c:pt idx="4">
                  <c:v>728.7</c:v>
                </c:pt>
                <c:pt idx="5">
                  <c:v>111.30000000000004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2045.4</c:v>
                </c:pt>
                <c:pt idx="1">
                  <c:v>1221.4</c:v>
                </c:pt>
                <c:pt idx="2">
                  <c:v>117</c:v>
                </c:pt>
                <c:pt idx="3">
                  <c:v>126.3</c:v>
                </c:pt>
                <c:pt idx="4">
                  <c:v>495</c:v>
                </c:pt>
                <c:pt idx="5">
                  <c:v>85.70000000000005</c:v>
                </c:pt>
              </c:numCache>
            </c:numRef>
          </c:val>
          <c:shape val="box"/>
        </c:ser>
        <c:shape val="box"/>
        <c:axId val="44244417"/>
        <c:axId val="38306510"/>
      </c:bar3DChart>
      <c:catAx>
        <c:axId val="44244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306510"/>
        <c:crosses val="autoZero"/>
        <c:auto val="1"/>
        <c:lblOffset val="100"/>
        <c:tickLblSkip val="1"/>
        <c:noMultiLvlLbl val="0"/>
      </c:catAx>
      <c:valAx>
        <c:axId val="383065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444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19602.700000000004</c:v>
                </c:pt>
              </c:numCache>
            </c:numRef>
          </c:val>
          <c:shape val="box"/>
        </c:ser>
        <c:shape val="box"/>
        <c:axId val="28222583"/>
        <c:axId val="31349260"/>
      </c:bar3DChart>
      <c:catAx>
        <c:axId val="28222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1349260"/>
        <c:crosses val="autoZero"/>
        <c:auto val="1"/>
        <c:lblOffset val="100"/>
        <c:tickLblSkip val="1"/>
        <c:noMultiLvlLbl val="0"/>
      </c:catAx>
      <c:valAx>
        <c:axId val="313492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2258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274358.2</c:v>
                </c:pt>
                <c:pt idx="1">
                  <c:v>177767.7</c:v>
                </c:pt>
                <c:pt idx="2">
                  <c:v>37525.8</c:v>
                </c:pt>
                <c:pt idx="3">
                  <c:v>12140.199999999999</c:v>
                </c:pt>
                <c:pt idx="4">
                  <c:v>3018.8</c:v>
                </c:pt>
                <c:pt idx="5">
                  <c:v>44963</c:v>
                </c:pt>
                <c:pt idx="6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169386.40000000002</c:v>
                </c:pt>
                <c:pt idx="1">
                  <c:v>114401.80000000002</c:v>
                </c:pt>
                <c:pt idx="2">
                  <c:v>22513.59999999999</c:v>
                </c:pt>
                <c:pt idx="3">
                  <c:v>6660</c:v>
                </c:pt>
                <c:pt idx="4">
                  <c:v>2045.4</c:v>
                </c:pt>
                <c:pt idx="5">
                  <c:v>26061.500000000007</c:v>
                </c:pt>
                <c:pt idx="6">
                  <c:v>19602.700000000004</c:v>
                </c:pt>
              </c:numCache>
            </c:numRef>
          </c:val>
          <c:shape val="box"/>
        </c:ser>
        <c:shape val="box"/>
        <c:axId val="4887197"/>
        <c:axId val="63533562"/>
      </c:bar3DChart>
      <c:catAx>
        <c:axId val="4887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533562"/>
        <c:crosses val="autoZero"/>
        <c:auto val="1"/>
        <c:lblOffset val="100"/>
        <c:tickLblSkip val="1"/>
        <c:noMultiLvlLbl val="0"/>
      </c:catAx>
      <c:valAx>
        <c:axId val="635335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719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фінансування'!$C$135:$C$140</c:f>
              <c:numCache>
                <c:ptCount val="6"/>
                <c:pt idx="0">
                  <c:v>430257.9</c:v>
                </c:pt>
                <c:pt idx="1">
                  <c:v>64923.7</c:v>
                </c:pt>
                <c:pt idx="2">
                  <c:v>20504.5</c:v>
                </c:pt>
                <c:pt idx="3">
                  <c:v>8036.500000000001</c:v>
                </c:pt>
                <c:pt idx="4">
                  <c:v>7873.900000000001</c:v>
                </c:pt>
                <c:pt idx="5">
                  <c:v>92563.40000000001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фінансування'!$D$135:$D$140</c:f>
              <c:numCache>
                <c:ptCount val="6"/>
                <c:pt idx="0">
                  <c:v>279057.89999999997</c:v>
                </c:pt>
                <c:pt idx="1">
                  <c:v>33364.50000000001</c:v>
                </c:pt>
                <c:pt idx="2">
                  <c:v>11271.700000000003</c:v>
                </c:pt>
                <c:pt idx="3">
                  <c:v>4619.9</c:v>
                </c:pt>
                <c:pt idx="4">
                  <c:v>2423.0999999999995</c:v>
                </c:pt>
                <c:pt idx="5">
                  <c:v>43873.20000000013</c:v>
                </c:pt>
              </c:numCache>
            </c:numRef>
          </c:val>
          <c:shape val="box"/>
        </c:ser>
        <c:shape val="box"/>
        <c:axId val="20629939"/>
        <c:axId val="66862616"/>
      </c:bar3DChart>
      <c:catAx>
        <c:axId val="20629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862616"/>
        <c:crosses val="autoZero"/>
        <c:auto val="1"/>
        <c:lblOffset val="100"/>
        <c:tickLblSkip val="1"/>
        <c:noMultiLvlLbl val="0"/>
      </c:catAx>
      <c:valAx>
        <c:axId val="668626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299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0"/>
  <sheetViews>
    <sheetView tabSelected="1" view="pageBreakPreview" zoomScale="80" zoomScaleNormal="75" zoomScaleSheetLayoutView="80" zoomScalePageLayoutView="0" workbookViewId="0" topLeftCell="A1">
      <pane xSplit="1" ySplit="5" topLeftCell="B12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I1"/>
    </sheetView>
  </sheetViews>
  <sheetFormatPr defaultColWidth="9.00390625" defaultRowHeight="12.75"/>
  <cols>
    <col min="1" max="1" width="66.875" style="38" customWidth="1"/>
    <col min="2" max="2" width="19.00390625" style="38" customWidth="1"/>
    <col min="3" max="3" width="18.625" style="12" customWidth="1"/>
    <col min="4" max="4" width="19.00390625" style="12" customWidth="1"/>
    <col min="5" max="5" width="17.25390625" style="12" customWidth="1"/>
    <col min="6" max="6" width="19.375" style="12" customWidth="1"/>
    <col min="7" max="7" width="19.125" style="12" customWidth="1"/>
    <col min="8" max="8" width="19.75390625" style="12" customWidth="1"/>
    <col min="9" max="9" width="21.00390625" style="12" customWidth="1"/>
    <col min="10" max="10" width="9.125" style="12" customWidth="1"/>
    <col min="11" max="11" width="21.125" style="12" bestFit="1" customWidth="1"/>
    <col min="12" max="12" width="31.375" style="12" bestFit="1" customWidth="1"/>
    <col min="13" max="16384" width="9.125" style="12" customWidth="1"/>
  </cols>
  <sheetData>
    <row r="1" spans="1:9" s="45" customFormat="1" ht="30">
      <c r="A1" s="120" t="s">
        <v>110</v>
      </c>
      <c r="B1" s="120"/>
      <c r="C1" s="120"/>
      <c r="D1" s="120"/>
      <c r="E1" s="120"/>
      <c r="F1" s="120"/>
      <c r="G1" s="120"/>
      <c r="H1" s="120"/>
      <c r="I1" s="120"/>
    </row>
    <row r="2" spans="1:8" s="11" customFormat="1" ht="9.75" customHeight="1" thickBot="1">
      <c r="A2" s="29"/>
      <c r="B2" s="29"/>
      <c r="C2" s="10"/>
      <c r="D2" s="10"/>
      <c r="E2" s="10"/>
      <c r="F2" s="10"/>
      <c r="G2" s="10"/>
      <c r="H2" s="10"/>
    </row>
    <row r="3" spans="1:9" ht="29.25" customHeight="1">
      <c r="A3" s="124" t="s">
        <v>50</v>
      </c>
      <c r="B3" s="121" t="s">
        <v>107</v>
      </c>
      <c r="C3" s="121" t="s">
        <v>102</v>
      </c>
      <c r="D3" s="121" t="s">
        <v>29</v>
      </c>
      <c r="E3" s="121" t="s">
        <v>28</v>
      </c>
      <c r="F3" s="121" t="s">
        <v>108</v>
      </c>
      <c r="G3" s="121" t="s">
        <v>103</v>
      </c>
      <c r="H3" s="121" t="s">
        <v>109</v>
      </c>
      <c r="I3" s="121" t="s">
        <v>104</v>
      </c>
    </row>
    <row r="4" spans="1:9" ht="24.75" customHeight="1">
      <c r="A4" s="125"/>
      <c r="B4" s="122"/>
      <c r="C4" s="122"/>
      <c r="D4" s="122"/>
      <c r="E4" s="122"/>
      <c r="F4" s="122"/>
      <c r="G4" s="122"/>
      <c r="H4" s="122"/>
      <c r="I4" s="122"/>
    </row>
    <row r="5" spans="1:9" ht="39" customHeight="1" thickBot="1">
      <c r="A5" s="126"/>
      <c r="B5" s="123"/>
      <c r="C5" s="123"/>
      <c r="D5" s="123"/>
      <c r="E5" s="123"/>
      <c r="F5" s="123"/>
      <c r="G5" s="123"/>
      <c r="H5" s="123"/>
      <c r="I5" s="123"/>
    </row>
    <row r="6" spans="1:9" ht="18.75" thickBot="1">
      <c r="A6" s="30" t="s">
        <v>34</v>
      </c>
      <c r="B6" s="55">
        <f>176270.5+64.6</f>
        <v>176335.1</v>
      </c>
      <c r="C6" s="56">
        <f>279531.5-5173.3</f>
        <v>274358.2</v>
      </c>
      <c r="D6" s="57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+200+176+10178.9+1338.1+439.2+873.2+14.5+319.1+1317.2+104+9.1+9102+321.4+179+100.1+40+222.1+44.9+145.5+22727.3+165.8+121.8+390.4+35.1+20+174.3+169.8+18386+90.5+436.9+154.7+0.4+499.1+151.8+157.9+12045.9+471.6+0.1+532.4+224.1+43.7+120.4+34.3+129.9+190+101.2+6489.1+30+140.2+100+51.2+46.5+20+57.5+86.8</f>
        <v>169386.40000000002</v>
      </c>
      <c r="E6" s="3">
        <f>D6/D134*100</f>
        <v>45.216695857001255</v>
      </c>
      <c r="F6" s="3">
        <f>D6/B6*100</f>
        <v>96.05937785500448</v>
      </c>
      <c r="G6" s="3">
        <f aca="true" t="shared" si="0" ref="G6:G41">D6/C6*100</f>
        <v>61.739142478701204</v>
      </c>
      <c r="H6" s="3">
        <f>B6-D6</f>
        <v>6948.6999999999825</v>
      </c>
      <c r="I6" s="3">
        <f aca="true" t="shared" si="1" ref="I6:I41">C6-D6</f>
        <v>104971.79999999999</v>
      </c>
    </row>
    <row r="7" spans="1:9" ht="18">
      <c r="A7" s="31" t="s">
        <v>3</v>
      </c>
      <c r="B7" s="52">
        <f>143517+64.6</f>
        <v>143581.6</v>
      </c>
      <c r="C7" s="53">
        <f>220378.6-5173.3</f>
        <v>215205.30000000002</v>
      </c>
      <c r="D7" s="54">
        <f>7985.1+61.4+9890.7+1.2+8129.6+806.2+1384.8+4074.5+2508.4-0.1+1256+5351+1046.8+1404.7+196.9+8063.3+1035+0.1+765.8+122.3+398.7+641.6+852.4+6947.2+10178.9+8480.2+21078.8+18386+499.1+151.8+157.9+11710+0.1+4412.3+57.5+86.8</f>
        <v>138122.99999999997</v>
      </c>
      <c r="E7" s="1">
        <f>D7/D6*100</f>
        <v>81.54314632107416</v>
      </c>
      <c r="F7" s="1">
        <f>D7/B7*100</f>
        <v>96.19825938699664</v>
      </c>
      <c r="G7" s="1">
        <f t="shared" si="0"/>
        <v>64.1819694961044</v>
      </c>
      <c r="H7" s="1">
        <f>B7-D7</f>
        <v>5458.600000000035</v>
      </c>
      <c r="I7" s="1">
        <f t="shared" si="1"/>
        <v>77082.30000000005</v>
      </c>
    </row>
    <row r="8" spans="1:9" ht="18">
      <c r="A8" s="31" t="s">
        <v>2</v>
      </c>
      <c r="B8" s="52">
        <v>22.4</v>
      </c>
      <c r="C8" s="53">
        <v>44.6</v>
      </c>
      <c r="D8" s="54">
        <f>0.1+0.1+0.3+0.3+2.7+0.7+1.1+1.4+0.5+0.7+1.7+0.4+0.5+1+0.2</f>
        <v>11.700000000000001</v>
      </c>
      <c r="E8" s="13">
        <f>D8/D6*100</f>
        <v>0.006907284173936041</v>
      </c>
      <c r="F8" s="1">
        <f>D8/B8*100</f>
        <v>52.23214285714286</v>
      </c>
      <c r="G8" s="1">
        <f t="shared" si="0"/>
        <v>26.233183856502247</v>
      </c>
      <c r="H8" s="1">
        <f aca="true" t="shared" si="2" ref="H8:H30">B8-D8</f>
        <v>10.699999999999998</v>
      </c>
      <c r="I8" s="1">
        <f t="shared" si="1"/>
        <v>32.9</v>
      </c>
    </row>
    <row r="9" spans="1:9" ht="18">
      <c r="A9" s="31" t="s">
        <v>1</v>
      </c>
      <c r="B9" s="52">
        <f>9877.7+1.1</f>
        <v>9878.800000000001</v>
      </c>
      <c r="C9" s="53">
        <v>17103.7</v>
      </c>
      <c r="D9" s="58">
        <f>538.7+346.9+429.4+56.3+419.6+508.1+71-0.1+453.2+98.5+2.8+391.5+199.8+80.8+202.8+35.8+0.1+605.8+190.7+96.5+200+176+997.3+131.2+243.2+104+591.3+99.4+217.4+212.6+91.6-0.1+103.6+174.3+89.1+426.5+77.6+43.7+34.3+79.9+190+100+316.7+131.4+13.3</f>
        <v>9572.500000000002</v>
      </c>
      <c r="E9" s="1">
        <f>D9/D6*100</f>
        <v>5.651280150000237</v>
      </c>
      <c r="F9" s="1">
        <f aca="true" t="shared" si="3" ref="F9:F39">D9/B9*100</f>
        <v>96.89942098230556</v>
      </c>
      <c r="G9" s="1">
        <f t="shared" si="0"/>
        <v>55.967422253664424</v>
      </c>
      <c r="H9" s="1">
        <f t="shared" si="2"/>
        <v>306.2999999999993</v>
      </c>
      <c r="I9" s="1">
        <f t="shared" si="1"/>
        <v>7531.199999999999</v>
      </c>
    </row>
    <row r="10" spans="1:9" ht="18">
      <c r="A10" s="31" t="s">
        <v>0</v>
      </c>
      <c r="B10" s="52">
        <v>21261</v>
      </c>
      <c r="C10" s="53">
        <v>39445.5</v>
      </c>
      <c r="D10" s="59">
        <f>1.1+76.7+36.7+34.9+18.5+42.2+88.1+82.5+80.9+400.1+1837.5+2957.3+365.3+150+4041.5+622.1+388.9+504.4+104+339.4+307.4+873.2+298.8+1030.7+5.1+301.4+159+4.7+44.9+145.5+1389.2+0.1+286.8+29.7+169.8+150+335.9+471.6+518+146.5+100.2+1758.9+8.6+0.7+21.2+33.2</f>
        <v>20763.2</v>
      </c>
      <c r="E10" s="1">
        <f>D10/D6*100</f>
        <v>12.257890834211011</v>
      </c>
      <c r="F10" s="1">
        <f t="shared" si="3"/>
        <v>97.65862377122431</v>
      </c>
      <c r="G10" s="1">
        <f t="shared" si="0"/>
        <v>52.637689977310465</v>
      </c>
      <c r="H10" s="1">
        <f t="shared" si="2"/>
        <v>497.7999999999993</v>
      </c>
      <c r="I10" s="1">
        <f t="shared" si="1"/>
        <v>18682.3</v>
      </c>
    </row>
    <row r="11" spans="1:9" ht="18">
      <c r="A11" s="31" t="s">
        <v>15</v>
      </c>
      <c r="B11" s="52">
        <f>234.5-0.5-1.1</f>
        <v>232.9</v>
      </c>
      <c r="C11" s="53">
        <v>281.8</v>
      </c>
      <c r="D11" s="54">
        <f>4+4+12.7+4+4+14.5+4+115.8+4+14.4</f>
        <v>181.4</v>
      </c>
      <c r="E11" s="1">
        <f>D11/D6*100</f>
        <v>0.10709242300444427</v>
      </c>
      <c r="F11" s="1">
        <f t="shared" si="3"/>
        <v>77.88750536711035</v>
      </c>
      <c r="G11" s="1">
        <f t="shared" si="0"/>
        <v>64.37189496096522</v>
      </c>
      <c r="H11" s="1">
        <f t="shared" si="2"/>
        <v>51.5</v>
      </c>
      <c r="I11" s="1">
        <f t="shared" si="1"/>
        <v>100.4</v>
      </c>
    </row>
    <row r="12" spans="1:9" ht="18.75" thickBot="1">
      <c r="A12" s="31" t="s">
        <v>35</v>
      </c>
      <c r="B12" s="53">
        <f>B6-B7-B8-B9-B10-B11</f>
        <v>1358.3999999999955</v>
      </c>
      <c r="C12" s="53">
        <f>C6-C7-C8-C9-C10-C11</f>
        <v>2277.299999999991</v>
      </c>
      <c r="D12" s="53">
        <f>D6-D7-D8-D9-D10-D11</f>
        <v>734.6000000000473</v>
      </c>
      <c r="E12" s="1">
        <f>D12/D6*100</f>
        <v>0.4336829875362173</v>
      </c>
      <c r="F12" s="1">
        <f t="shared" si="3"/>
        <v>54.07832744405548</v>
      </c>
      <c r="G12" s="1">
        <f t="shared" si="0"/>
        <v>32.257497914198844</v>
      </c>
      <c r="H12" s="1">
        <f t="shared" si="2"/>
        <v>623.7999999999482</v>
      </c>
      <c r="I12" s="1">
        <f t="shared" si="1"/>
        <v>1542.6999999999439</v>
      </c>
    </row>
    <row r="13" spans="1:9" s="47" customFormat="1" ht="18.75" customHeight="1" hidden="1">
      <c r="A13" s="114" t="s">
        <v>85</v>
      </c>
      <c r="B13" s="112"/>
      <c r="C13" s="112"/>
      <c r="D13" s="112"/>
      <c r="E13" s="113"/>
      <c r="F13" s="113" t="e">
        <f>D13/B13*100</f>
        <v>#DIV/0!</v>
      </c>
      <c r="G13" s="113" t="e">
        <f>D13/C13*100</f>
        <v>#DIV/0!</v>
      </c>
      <c r="H13" s="113">
        <f>B13-D13</f>
        <v>0</v>
      </c>
      <c r="I13" s="113">
        <f>C13-D13</f>
        <v>0</v>
      </c>
    </row>
    <row r="14" spans="1:9" s="47" customFormat="1" ht="18.75" customHeight="1" hidden="1">
      <c r="A14" s="114" t="s">
        <v>82</v>
      </c>
      <c r="B14" s="112"/>
      <c r="C14" s="112"/>
      <c r="D14" s="112"/>
      <c r="E14" s="113"/>
      <c r="F14" s="113" t="e">
        <f>D14/B14*100</f>
        <v>#DIV/0!</v>
      </c>
      <c r="G14" s="113" t="e">
        <f>D14/C14*100</f>
        <v>#DIV/0!</v>
      </c>
      <c r="H14" s="113">
        <f>B14-D14</f>
        <v>0</v>
      </c>
      <c r="I14" s="113">
        <f>C14-D14</f>
        <v>0</v>
      </c>
    </row>
    <row r="15" spans="1:9" s="47" customFormat="1" ht="18.75" hidden="1">
      <c r="A15" s="114" t="s">
        <v>83</v>
      </c>
      <c r="B15" s="112"/>
      <c r="C15" s="112"/>
      <c r="D15" s="112"/>
      <c r="E15" s="113"/>
      <c r="F15" s="113" t="e">
        <f>D15/B15*100</f>
        <v>#DIV/0!</v>
      </c>
      <c r="G15" s="113" t="e">
        <f>D15/C15*100</f>
        <v>#DIV/0!</v>
      </c>
      <c r="H15" s="113">
        <f>B15-D15</f>
        <v>0</v>
      </c>
      <c r="I15" s="113">
        <f>C15-D15</f>
        <v>0</v>
      </c>
    </row>
    <row r="16" spans="1:9" s="47" customFormat="1" ht="19.5" hidden="1" thickBot="1">
      <c r="A16" s="114" t="s">
        <v>84</v>
      </c>
      <c r="B16" s="112"/>
      <c r="C16" s="112"/>
      <c r="D16" s="112"/>
      <c r="E16" s="113"/>
      <c r="F16" s="113" t="e">
        <f>D16/B16*100</f>
        <v>#DIV/0!</v>
      </c>
      <c r="G16" s="113" t="e">
        <f>D16/C16*100</f>
        <v>#DIV/0!</v>
      </c>
      <c r="H16" s="113">
        <f>B16-D16</f>
        <v>0</v>
      </c>
      <c r="I16" s="113">
        <f>C16-D16</f>
        <v>0</v>
      </c>
    </row>
    <row r="17" spans="1:9" ht="18.75" thickBot="1">
      <c r="A17" s="30" t="s">
        <v>23</v>
      </c>
      <c r="B17" s="55">
        <v>121352.1</v>
      </c>
      <c r="C17" s="56">
        <f>176050.5+1395.7+321.5</f>
        <v>177767.7</v>
      </c>
      <c r="D17" s="57">
        <f>5329.2+6976.4+310.1+0.1+574.9+417.4+5396.4+2+668.9+83+171.9+366.8+7074.6+0.1+0.1+821.2+7.6+8.6+0.9+5585.2+2.9+0.4+456.2+427.1+1512+1289.7+309.6+556.1+6698.2+0.1+627.6+100+38.4+187.4+237.9+6782.9+54.8+1256.6+91.1+62.1+70.4+14.7+2132.5+5885.3+15.9+0.1+24.4+115.2+100+53.6+5971.1+202.1+113.6+100+126.1+147.7+9483.9+108.9+133.6-0.1+13.4+118.3+100+171.7+237+5811.7+67.1+104.6+110.3+48+20.5+66.7+9482.1+286.2+405.3+49.8+267.7+50+8793.3+50+0.7+200+1.1+30+92.5+134.8+247.4+9.3+409.3+7737.5</f>
        <v>114401.80000000002</v>
      </c>
      <c r="E17" s="3">
        <f>D17/D134*100</f>
        <v>30.538882673541007</v>
      </c>
      <c r="F17" s="3">
        <f>D17/B17*100</f>
        <v>94.27261662550546</v>
      </c>
      <c r="G17" s="3">
        <f t="shared" si="0"/>
        <v>64.35466060482304</v>
      </c>
      <c r="H17" s="3">
        <f>B17-D17</f>
        <v>6950.299999999988</v>
      </c>
      <c r="I17" s="3">
        <f t="shared" si="1"/>
        <v>63365.899999999994</v>
      </c>
    </row>
    <row r="18" spans="1:9" ht="18">
      <c r="A18" s="31" t="s">
        <v>5</v>
      </c>
      <c r="B18" s="52">
        <v>94299.9</v>
      </c>
      <c r="C18" s="53">
        <f>133077.8+325.7</f>
        <v>133403.5</v>
      </c>
      <c r="D18" s="54">
        <f>5127.2+6545.1+310.1+0.1+5190.4+6767.1+5380.4+556.1+6698.2+26.3+5454.2+14.7+1807.4+5633.7-0.1+5479.7+8333.7+0.1+5594.2+20.5+8919.7-0.1+6648.6+409.3+7265</f>
        <v>92181.59999999999</v>
      </c>
      <c r="E18" s="1">
        <f>D18/D17*100</f>
        <v>80.57705385754417</v>
      </c>
      <c r="F18" s="1">
        <f t="shared" si="3"/>
        <v>97.75365615446039</v>
      </c>
      <c r="G18" s="1">
        <f t="shared" si="0"/>
        <v>69.09983621119386</v>
      </c>
      <c r="H18" s="1">
        <f t="shared" si="2"/>
        <v>2118.300000000003</v>
      </c>
      <c r="I18" s="1">
        <f t="shared" si="1"/>
        <v>41221.90000000001</v>
      </c>
    </row>
    <row r="19" spans="1:9" ht="18">
      <c r="A19" s="31" t="s">
        <v>2</v>
      </c>
      <c r="B19" s="52">
        <f>4725.5-120</f>
        <v>4605.5</v>
      </c>
      <c r="C19" s="53">
        <f>7565.3-5.5+258.8</f>
        <v>7818.6</v>
      </c>
      <c r="D19" s="54">
        <f>15+99.7+173.8+0.6+107.5+22.1+0.5+193.8+202.2+7.6+0.9+0.4+198.3+0.9+0.9+95.5+0.1+279.3+38.4+83.3+46.9+46.6+4.1+6.6+39.1+95.6+92.1+24.2+50.1-0.1+50+365.7+1.1+48.1+10.4+9.3</f>
        <v>2410.5999999999995</v>
      </c>
      <c r="E19" s="1">
        <f>D19/D17*100</f>
        <v>2.1071346779508704</v>
      </c>
      <c r="F19" s="1">
        <f t="shared" si="3"/>
        <v>52.34176528064269</v>
      </c>
      <c r="G19" s="1">
        <f t="shared" si="0"/>
        <v>30.831606681503075</v>
      </c>
      <c r="H19" s="1">
        <f t="shared" si="2"/>
        <v>2194.9000000000005</v>
      </c>
      <c r="I19" s="1">
        <f t="shared" si="1"/>
        <v>5408.000000000001</v>
      </c>
    </row>
    <row r="20" spans="1:9" ht="18">
      <c r="A20" s="31" t="s">
        <v>1</v>
      </c>
      <c r="B20" s="52">
        <f>1580+296.3</f>
        <v>1876.3</v>
      </c>
      <c r="C20" s="53">
        <v>2836.6</v>
      </c>
      <c r="D20" s="54">
        <f>50.7+162.6+43.4+2.3+47.2+1.8+59.1-0.1+62.8+64.5+13.9+16.6+5.7+70.4+205+17+53.6+0.4+52.9+123.3+33.6+13.4+33.2+48.5+167.7+45.5+44.4+10.1</f>
        <v>1449.5</v>
      </c>
      <c r="E20" s="1">
        <f>D20/D17*100</f>
        <v>1.267025518829249</v>
      </c>
      <c r="F20" s="1">
        <f t="shared" si="3"/>
        <v>77.25310451420349</v>
      </c>
      <c r="G20" s="1">
        <f t="shared" si="0"/>
        <v>51.09990834097159</v>
      </c>
      <c r="H20" s="1">
        <f t="shared" si="2"/>
        <v>426.79999999999995</v>
      </c>
      <c r="I20" s="1">
        <f t="shared" si="1"/>
        <v>1387.1</v>
      </c>
    </row>
    <row r="21" spans="1:9" ht="18">
      <c r="A21" s="31" t="s">
        <v>0</v>
      </c>
      <c r="B21" s="52">
        <f>10671.5-2.7-86.6</f>
        <v>10582.199999999999</v>
      </c>
      <c r="C21" s="53">
        <f>19349.6+4</f>
        <v>19353.6</v>
      </c>
      <c r="D21" s="54">
        <f>36.6+15.7+3.3+2+290.1+4.1+24.2+41.8-0.1+460.8+0.9+2.5+257.9+361.7+1303.2+901+0.2+255.3+105.4+1050+1256.6+91+115.9+147.7+464.8+110+110.3+66.7+175+286.2-0.1+383.7+49.8+1261.4+100+227.4</f>
        <v>9962.999999999998</v>
      </c>
      <c r="E21" s="1">
        <f>D21/D17*100</f>
        <v>8.708779057672167</v>
      </c>
      <c r="F21" s="1">
        <f t="shared" si="3"/>
        <v>94.14866473890116</v>
      </c>
      <c r="G21" s="1">
        <f t="shared" si="0"/>
        <v>51.47879464285714</v>
      </c>
      <c r="H21" s="1">
        <f t="shared" si="2"/>
        <v>619.2000000000007</v>
      </c>
      <c r="I21" s="1">
        <f t="shared" si="1"/>
        <v>9390.6</v>
      </c>
    </row>
    <row r="22" spans="1:9" ht="18">
      <c r="A22" s="31" t="s">
        <v>15</v>
      </c>
      <c r="B22" s="52">
        <v>857.4</v>
      </c>
      <c r="C22" s="53">
        <v>1388.5</v>
      </c>
      <c r="D22" s="54">
        <f>14.2+80.1+19.7+105+3.5+1.3+30+84.1+0.1+72.2+54.8+15.1+59.3+59.3+8.9+52.2+1.2+36.9+21.6+108.1</f>
        <v>827.6</v>
      </c>
      <c r="E22" s="1">
        <f>D22/D17*100</f>
        <v>0.7234151910197216</v>
      </c>
      <c r="F22" s="1">
        <f t="shared" si="3"/>
        <v>96.52437602052719</v>
      </c>
      <c r="G22" s="1">
        <f t="shared" si="0"/>
        <v>59.603889088944904</v>
      </c>
      <c r="H22" s="1">
        <f t="shared" si="2"/>
        <v>29.799999999999955</v>
      </c>
      <c r="I22" s="1">
        <f t="shared" si="1"/>
        <v>560.9</v>
      </c>
    </row>
    <row r="23" spans="1:9" ht="18.75" thickBot="1">
      <c r="A23" s="31" t="s">
        <v>35</v>
      </c>
      <c r="B23" s="53">
        <f>B17-B18-B19-B20-B21-B22</f>
        <v>9130.800000000014</v>
      </c>
      <c r="C23" s="53">
        <f>C17-C18-C19-C20-C21-C22</f>
        <v>12966.900000000016</v>
      </c>
      <c r="D23" s="53">
        <f>D17-D18-D19-D20-D21-D22</f>
        <v>7569.500000000029</v>
      </c>
      <c r="E23" s="1">
        <f>D23/D17*100</f>
        <v>6.616591696983813</v>
      </c>
      <c r="F23" s="1">
        <f t="shared" si="3"/>
        <v>82.90073158978421</v>
      </c>
      <c r="G23" s="1">
        <f t="shared" si="0"/>
        <v>58.37555622392414</v>
      </c>
      <c r="H23" s="1">
        <f t="shared" si="2"/>
        <v>1561.2999999999847</v>
      </c>
      <c r="I23" s="1">
        <f t="shared" si="1"/>
        <v>5397.399999999987</v>
      </c>
    </row>
    <row r="24" spans="1:9" ht="56.25" hidden="1">
      <c r="A24" s="114" t="s">
        <v>93</v>
      </c>
      <c r="B24" s="53"/>
      <c r="C24" s="53"/>
      <c r="D24" s="53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4" t="s">
        <v>94</v>
      </c>
      <c r="B25" s="53"/>
      <c r="C25" s="53"/>
      <c r="D25" s="53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8.75" hidden="1">
      <c r="A26" s="114" t="s">
        <v>95</v>
      </c>
      <c r="B26" s="53"/>
      <c r="C26" s="53"/>
      <c r="D26" s="53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4" t="s">
        <v>96</v>
      </c>
      <c r="B27" s="53"/>
      <c r="C27" s="53"/>
      <c r="D27" s="53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4" t="s">
        <v>97</v>
      </c>
      <c r="B28" s="53"/>
      <c r="C28" s="53"/>
      <c r="D28" s="53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4" t="s">
        <v>98</v>
      </c>
      <c r="B29" s="53"/>
      <c r="C29" s="53"/>
      <c r="D29" s="53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4" t="s">
        <v>99</v>
      </c>
      <c r="B30" s="53"/>
      <c r="C30" s="53"/>
      <c r="D30" s="53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30" t="s">
        <v>18</v>
      </c>
      <c r="B31" s="55">
        <v>24218.3</v>
      </c>
      <c r="C31" s="56">
        <f>38286.9-761.1</f>
        <v>37525.8</v>
      </c>
      <c r="D31" s="60">
        <f>1347.1+62.9+5.5+1121.1+3+1.1+2.6+0.1+234+6+147.2+4.6+1039.4+104.2+50.8+0.5+110.9+1079.5+38+332+67.8+22.1+92.4+1134.6+86.2+65+3.4+18.4+51.6+1048-0.1+145.6+230.7+127.5+86.7+1163.9+231.2+80.7+7.2+63.5+32.7+0.3+1088.2+30.8+26.3+139.4+331.2+18+30.8+1220.6+17.5+34.9+81.7+1268+23.6+102+0.1+61.6+160.4+85.3+5.4+4.1+3118.3+111.6+66.8+4.1+55.7+5.3+55.1+2433.5+0.1-70.8+112.3+364.3+50.1+26.1+503.8+60+75.6+0.4+0.8+37.2+20+4.3+299.2</f>
        <v>22513.59999999999</v>
      </c>
      <c r="E31" s="3">
        <f>D31/D134*100</f>
        <v>6.009872125779773</v>
      </c>
      <c r="F31" s="3">
        <f>D31/B31*100</f>
        <v>92.96110792252136</v>
      </c>
      <c r="G31" s="3">
        <f t="shared" si="0"/>
        <v>59.994990113468575</v>
      </c>
      <c r="H31" s="3">
        <f aca="true" t="shared" si="4" ref="H31:H41">B31-D31</f>
        <v>1704.700000000008</v>
      </c>
      <c r="I31" s="3">
        <f t="shared" si="1"/>
        <v>15012.200000000012</v>
      </c>
    </row>
    <row r="32" spans="1:9" ht="18">
      <c r="A32" s="31" t="s">
        <v>3</v>
      </c>
      <c r="B32" s="52">
        <f>18290.6+2.4+6.8</f>
        <v>18299.8</v>
      </c>
      <c r="C32" s="53">
        <f>28976.1-761.1</f>
        <v>28215</v>
      </c>
      <c r="D32" s="54">
        <f>1119.5+1121.1+1039.4+104.2+1079.5+1133.4+1048+1163.9+1081.6+1130.3+1238-0.1+13.4+4.1+3118.3+55.1+2433-70.8+488+299.2</f>
        <v>17599.1</v>
      </c>
      <c r="E32" s="1">
        <f>D32/D31*100</f>
        <v>78.17097221235166</v>
      </c>
      <c r="F32" s="1">
        <f t="shared" si="3"/>
        <v>96.17099640433229</v>
      </c>
      <c r="G32" s="1">
        <f t="shared" si="0"/>
        <v>62.37497784866205</v>
      </c>
      <c r="H32" s="1">
        <f t="shared" si="4"/>
        <v>700.7000000000007</v>
      </c>
      <c r="I32" s="1">
        <f t="shared" si="1"/>
        <v>10615.900000000001</v>
      </c>
    </row>
    <row r="33" spans="1:9" ht="18" hidden="1">
      <c r="A33" s="31" t="s">
        <v>1</v>
      </c>
      <c r="B33" s="52"/>
      <c r="C33" s="53"/>
      <c r="D33" s="54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4"/>
        <v>0</v>
      </c>
      <c r="I33" s="1">
        <f t="shared" si="1"/>
        <v>0</v>
      </c>
    </row>
    <row r="34" spans="1:9" ht="18">
      <c r="A34" s="31" t="s">
        <v>0</v>
      </c>
      <c r="B34" s="52">
        <f>902-2.4-6.8</f>
        <v>892.8000000000001</v>
      </c>
      <c r="C34" s="53">
        <f>1732.8+0.4</f>
        <v>1733.2</v>
      </c>
      <c r="D34" s="54">
        <f>1+2.5+0.8+6+1.4+0.1+11.2+0.5+6.3-0.2+32.4+6.9+2.4+3.4+18.4+48+143.7+198.6+32.7+71.3+22.6+9.9+48+1.6+5.4+15.8+0.4+0.8+1.6+4.3</f>
        <v>697.7999999999998</v>
      </c>
      <c r="E34" s="1">
        <f>D34/D31*100</f>
        <v>3.0994598820268644</v>
      </c>
      <c r="F34" s="1">
        <f t="shared" si="3"/>
        <v>78.15860215053762</v>
      </c>
      <c r="G34" s="1">
        <f t="shared" si="0"/>
        <v>40.26078929148395</v>
      </c>
      <c r="H34" s="1">
        <f t="shared" si="4"/>
        <v>195.00000000000023</v>
      </c>
      <c r="I34" s="1">
        <f t="shared" si="1"/>
        <v>1035.4</v>
      </c>
    </row>
    <row r="35" spans="1:9" s="47" customFormat="1" ht="18.75">
      <c r="A35" s="25" t="s">
        <v>7</v>
      </c>
      <c r="B35" s="61">
        <v>509.5</v>
      </c>
      <c r="C35" s="62">
        <v>715.3</v>
      </c>
      <c r="D35" s="63">
        <f>38.5+5.5+3+4.5+22.1+25.5+8.2+45.3+17.5+1+24+2.2+10</f>
        <v>207.29999999999998</v>
      </c>
      <c r="E35" s="21">
        <f>D35/D31*100</f>
        <v>0.9207767749271555</v>
      </c>
      <c r="F35" s="21">
        <f t="shared" si="3"/>
        <v>40.68694798822374</v>
      </c>
      <c r="G35" s="21">
        <f t="shared" si="0"/>
        <v>28.980847196980285</v>
      </c>
      <c r="H35" s="21">
        <f t="shared" si="4"/>
        <v>302.20000000000005</v>
      </c>
      <c r="I35" s="21">
        <f t="shared" si="1"/>
        <v>508</v>
      </c>
    </row>
    <row r="36" spans="1:9" ht="18">
      <c r="A36" s="31" t="s">
        <v>15</v>
      </c>
      <c r="B36" s="52">
        <v>18</v>
      </c>
      <c r="C36" s="53">
        <f>45.2-20</f>
        <v>25.200000000000003</v>
      </c>
      <c r="D36" s="53">
        <f>3.6+3.6+7.2+3.6</f>
        <v>18</v>
      </c>
      <c r="E36" s="1">
        <f>D36/D31*100</f>
        <v>0.07995167365503521</v>
      </c>
      <c r="F36" s="1">
        <f t="shared" si="3"/>
        <v>100</v>
      </c>
      <c r="G36" s="1">
        <f t="shared" si="0"/>
        <v>71.42857142857142</v>
      </c>
      <c r="H36" s="1">
        <f t="shared" si="4"/>
        <v>0</v>
      </c>
      <c r="I36" s="1">
        <f t="shared" si="1"/>
        <v>7.200000000000003</v>
      </c>
    </row>
    <row r="37" spans="1:9" ht="18.75" thickBot="1">
      <c r="A37" s="31" t="s">
        <v>35</v>
      </c>
      <c r="B37" s="52">
        <f>B31-B32-B34-B35-B33-B36</f>
        <v>4498.2</v>
      </c>
      <c r="C37" s="52">
        <f>C31-C32-C34-C35-C33-C36</f>
        <v>6837.100000000003</v>
      </c>
      <c r="D37" s="52">
        <f>D31-D32-D34-D35-D33-D36</f>
        <v>3991.3999999999924</v>
      </c>
      <c r="E37" s="1">
        <f>D37/D31*100</f>
        <v>17.728839457039275</v>
      </c>
      <c r="F37" s="1">
        <f t="shared" si="3"/>
        <v>88.7332710862121</v>
      </c>
      <c r="G37" s="1">
        <f t="shared" si="0"/>
        <v>58.37855231018986</v>
      </c>
      <c r="H37" s="1">
        <f>B37-D37</f>
        <v>506.80000000000746</v>
      </c>
      <c r="I37" s="1">
        <f t="shared" si="1"/>
        <v>2845.7000000000107</v>
      </c>
    </row>
    <row r="38" spans="1:9" s="116" customFormat="1" ht="18.75" hidden="1">
      <c r="A38" s="114" t="s">
        <v>90</v>
      </c>
      <c r="B38" s="115"/>
      <c r="C38" s="115"/>
      <c r="D38" s="115"/>
      <c r="E38" s="113"/>
      <c r="F38" s="113" t="e">
        <f t="shared" si="3"/>
        <v>#DIV/0!</v>
      </c>
      <c r="G38" s="113" t="e">
        <f t="shared" si="0"/>
        <v>#DIV/0!</v>
      </c>
      <c r="H38" s="113">
        <f>B38-D38</f>
        <v>0</v>
      </c>
      <c r="I38" s="113">
        <f t="shared" si="1"/>
        <v>0</v>
      </c>
    </row>
    <row r="39" spans="1:9" s="116" customFormat="1" ht="18.75" hidden="1">
      <c r="A39" s="114" t="s">
        <v>91</v>
      </c>
      <c r="B39" s="115"/>
      <c r="C39" s="115"/>
      <c r="D39" s="115"/>
      <c r="E39" s="113"/>
      <c r="F39" s="113" t="e">
        <f t="shared" si="3"/>
        <v>#DIV/0!</v>
      </c>
      <c r="G39" s="113" t="e">
        <f t="shared" si="0"/>
        <v>#DIV/0!</v>
      </c>
      <c r="H39" s="113">
        <f>B39-D39</f>
        <v>0</v>
      </c>
      <c r="I39" s="113">
        <f t="shared" si="1"/>
        <v>0</v>
      </c>
    </row>
    <row r="40" spans="1:9" s="116" customFormat="1" ht="19.5" hidden="1" thickBot="1">
      <c r="A40" s="114" t="s">
        <v>92</v>
      </c>
      <c r="B40" s="115"/>
      <c r="C40" s="115"/>
      <c r="D40" s="115"/>
      <c r="E40" s="113"/>
      <c r="F40" s="113"/>
      <c r="G40" s="11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thickBot="1">
      <c r="A41" s="15" t="s">
        <v>17</v>
      </c>
      <c r="B41" s="117">
        <v>677.5</v>
      </c>
      <c r="C41" s="56">
        <f>1079.9+40.7</f>
        <v>1120.6000000000001</v>
      </c>
      <c r="D41" s="57">
        <f>39.9+10-0.1+63.8+32.1+23.9+51.2+20.3+38.8+26.2+1.3</f>
        <v>307.40000000000003</v>
      </c>
      <c r="E41" s="3">
        <f>D41/D134*100</f>
        <v>0.08205860863943142</v>
      </c>
      <c r="F41" s="3">
        <f>D41/B41*100</f>
        <v>45.37269372693727</v>
      </c>
      <c r="G41" s="3">
        <f t="shared" si="0"/>
        <v>27.431733000178475</v>
      </c>
      <c r="H41" s="3">
        <f t="shared" si="4"/>
        <v>370.09999999999997</v>
      </c>
      <c r="I41" s="3">
        <f t="shared" si="1"/>
        <v>813.2</v>
      </c>
    </row>
    <row r="42" spans="1:9" ht="12" customHeight="1" thickBot="1">
      <c r="A42" s="33"/>
      <c r="B42" s="65"/>
      <c r="C42" s="66"/>
      <c r="D42" s="67"/>
      <c r="E42" s="7"/>
      <c r="F42" s="7"/>
      <c r="G42" s="7"/>
      <c r="H42" s="7"/>
      <c r="I42" s="7"/>
    </row>
    <row r="43" spans="1:9" ht="18.75" thickBot="1">
      <c r="A43" s="30" t="s">
        <v>55</v>
      </c>
      <c r="B43" s="55">
        <v>3552.9</v>
      </c>
      <c r="C43" s="56">
        <f>6105.1+0.1</f>
        <v>6105.200000000001</v>
      </c>
      <c r="D43" s="57">
        <f>179.7+225.2+3.4+199.4+211.8+7.4+5.4+7.6+190.5+3.4+230.5+100.1+236.3+13.2+11.9+20.5+199.9+0.1+2+33.2+238.5+1.1+16.6+248.3+10.5+35.6+4.4+8.2+8.5+228.9+3.5+278.7-0.2+3.7+234.4+1.4+10</f>
        <v>3213.6</v>
      </c>
      <c r="E43" s="3">
        <f>D43/D134*100</f>
        <v>0.8578514792572439</v>
      </c>
      <c r="F43" s="3">
        <f>D43/B43*100</f>
        <v>90.45005488474203</v>
      </c>
      <c r="G43" s="3">
        <f aca="true" t="shared" si="5" ref="G43:G73">D43/C43*100</f>
        <v>52.63709624582322</v>
      </c>
      <c r="H43" s="3">
        <f>B43-D43</f>
        <v>339.3000000000002</v>
      </c>
      <c r="I43" s="3">
        <f aca="true" t="shared" si="6" ref="I43:I74">C43-D43</f>
        <v>2891.600000000001</v>
      </c>
    </row>
    <row r="44" spans="1:9" ht="18">
      <c r="A44" s="31" t="s">
        <v>3</v>
      </c>
      <c r="B44" s="52">
        <v>3094.9</v>
      </c>
      <c r="C44" s="53">
        <f>5484.1-124.7</f>
        <v>5359.400000000001</v>
      </c>
      <c r="D44" s="54">
        <f>179.7+201.3+187+211.8+190.5+230.5+236.3+199.9+0.1+218.5+248.3+8.2+228.5-0.1+273.7+231.2</f>
        <v>2845.3999999999996</v>
      </c>
      <c r="E44" s="1">
        <f>D44/D43*100</f>
        <v>88.54244461040577</v>
      </c>
      <c r="F44" s="1">
        <f aca="true" t="shared" si="7" ref="F44:F71">D44/B44*100</f>
        <v>91.93835018902064</v>
      </c>
      <c r="G44" s="1">
        <f t="shared" si="5"/>
        <v>53.091764003433205</v>
      </c>
      <c r="H44" s="1">
        <f aca="true" t="shared" si="8" ref="H44:H71">B44-D44</f>
        <v>249.50000000000045</v>
      </c>
      <c r="I44" s="1">
        <f t="shared" si="6"/>
        <v>2514.000000000001</v>
      </c>
    </row>
    <row r="45" spans="1:9" ht="18">
      <c r="A45" s="31" t="s">
        <v>2</v>
      </c>
      <c r="B45" s="52">
        <v>0.8</v>
      </c>
      <c r="C45" s="53">
        <v>1</v>
      </c>
      <c r="D45" s="54">
        <f>0.3+0.5</f>
        <v>0.8</v>
      </c>
      <c r="E45" s="1">
        <f>D45/D43*100</f>
        <v>0.024894199651481205</v>
      </c>
      <c r="F45" s="1">
        <f t="shared" si="7"/>
        <v>100</v>
      </c>
      <c r="G45" s="1">
        <f t="shared" si="5"/>
        <v>80</v>
      </c>
      <c r="H45" s="1">
        <f t="shared" si="8"/>
        <v>0</v>
      </c>
      <c r="I45" s="1">
        <f t="shared" si="6"/>
        <v>0.19999999999999996</v>
      </c>
    </row>
    <row r="46" spans="1:9" ht="18">
      <c r="A46" s="31" t="s">
        <v>1</v>
      </c>
      <c r="B46" s="52">
        <v>21.9</v>
      </c>
      <c r="C46" s="53">
        <v>35.1</v>
      </c>
      <c r="D46" s="54">
        <f>3.2+3.4-0.1+3.7+3.6+3.5+3.2</f>
        <v>20.499999999999996</v>
      </c>
      <c r="E46" s="1">
        <f>D46/D43*100</f>
        <v>0.6379138660692057</v>
      </c>
      <c r="F46" s="1">
        <f t="shared" si="7"/>
        <v>93.60730593607305</v>
      </c>
      <c r="G46" s="1">
        <f t="shared" si="5"/>
        <v>58.404558404558394</v>
      </c>
      <c r="H46" s="1">
        <f t="shared" si="8"/>
        <v>1.4000000000000021</v>
      </c>
      <c r="I46" s="1">
        <f t="shared" si="6"/>
        <v>14.600000000000005</v>
      </c>
    </row>
    <row r="47" spans="1:9" ht="18">
      <c r="A47" s="31" t="s">
        <v>0</v>
      </c>
      <c r="B47" s="52">
        <v>212.2</v>
      </c>
      <c r="C47" s="53">
        <f>358+23.1</f>
        <v>381.1</v>
      </c>
      <c r="D47" s="54">
        <f>23.1+2.7+0.5+0.4+5.2+0.6+99.9+12.6+20.5-0.1+2+19.6+1.1+0.5+4.4+0.4+3.4</f>
        <v>196.8</v>
      </c>
      <c r="E47" s="1">
        <f>D47/D43*100</f>
        <v>6.123973114264377</v>
      </c>
      <c r="F47" s="1">
        <f t="shared" si="7"/>
        <v>92.74269557021678</v>
      </c>
      <c r="G47" s="1">
        <f t="shared" si="5"/>
        <v>51.639989504067174</v>
      </c>
      <c r="H47" s="1">
        <f t="shared" si="8"/>
        <v>15.399999999999977</v>
      </c>
      <c r="I47" s="1">
        <f t="shared" si="6"/>
        <v>184.3</v>
      </c>
    </row>
    <row r="48" spans="1:9" ht="18.75" thickBot="1">
      <c r="A48" s="31" t="s">
        <v>35</v>
      </c>
      <c r="B48" s="53">
        <f>B43-B44-B47-B46-B45</f>
        <v>223.1</v>
      </c>
      <c r="C48" s="53">
        <f>C43-C44-C47-C46-C45</f>
        <v>328.60000000000014</v>
      </c>
      <c r="D48" s="53">
        <f>D43-D44-D47-D46-D45</f>
        <v>150.10000000000025</v>
      </c>
      <c r="E48" s="1">
        <f>D48/D43*100</f>
        <v>4.670774209609169</v>
      </c>
      <c r="F48" s="1">
        <f t="shared" si="7"/>
        <v>67.27924697445104</v>
      </c>
      <c r="G48" s="1">
        <f t="shared" si="5"/>
        <v>45.67863664029221</v>
      </c>
      <c r="H48" s="1">
        <f t="shared" si="8"/>
        <v>72.99999999999974</v>
      </c>
      <c r="I48" s="1">
        <f t="shared" si="6"/>
        <v>178.4999999999999</v>
      </c>
    </row>
    <row r="49" spans="1:9" ht="18.75" thickBot="1">
      <c r="A49" s="30" t="s">
        <v>4</v>
      </c>
      <c r="B49" s="55">
        <v>7431.1</v>
      </c>
      <c r="C49" s="56">
        <f>12054.8+85.4</f>
        <v>12140.199999999999</v>
      </c>
      <c r="D49" s="57">
        <f>282.8+343.5+104.6+27.4+31.1+70.8+315.1+27.8+66.3+5+25+425.5+95.6+8.8+334.8+43.9+50.2+364.8+68.9-0.1+79.4+50+73.4+231.6+28.9+39.3+89.2+10.3+6.7+27.5+358.6+70.2+0.2+53.9+3+100+69.1+15.3+319.6+25.2+72.3+402.7+50+64.4-0.1+15.8+0.1+76.2+297.5+4.3+4.8+73.5+563.3+1.5+0.1+50+6.4+90.2+334.1+56.6+50+80.7+22.4</f>
        <v>6660</v>
      </c>
      <c r="E49" s="3">
        <f>D49/D134*100</f>
        <v>1.7778475391626973</v>
      </c>
      <c r="F49" s="3">
        <f>D49/B49*100</f>
        <v>89.6233397478166</v>
      </c>
      <c r="G49" s="3">
        <f t="shared" si="5"/>
        <v>54.859063277375995</v>
      </c>
      <c r="H49" s="3">
        <f>B49-D49</f>
        <v>771.1000000000004</v>
      </c>
      <c r="I49" s="3">
        <f t="shared" si="6"/>
        <v>5480.199999999999</v>
      </c>
    </row>
    <row r="50" spans="1:9" ht="18">
      <c r="A50" s="31" t="s">
        <v>3</v>
      </c>
      <c r="B50" s="52">
        <v>4658.8</v>
      </c>
      <c r="C50" s="53">
        <f>7727-234.9</f>
        <v>7492.1</v>
      </c>
      <c r="D50" s="54">
        <f>282.8+343.5+279.8+360.5+269.9+364.8-0.1+7.2+231.6+28.9+358.6+269.6+381.2-0.1+7.2+297.2+563.3+0.1+313.9+22.4</f>
        <v>4382.299999999999</v>
      </c>
      <c r="E50" s="1">
        <f>D50/D49*100</f>
        <v>65.80030030030028</v>
      </c>
      <c r="F50" s="1">
        <f t="shared" si="7"/>
        <v>94.06499527775391</v>
      </c>
      <c r="G50" s="1">
        <f t="shared" si="5"/>
        <v>58.492278533388486</v>
      </c>
      <c r="H50" s="1">
        <f t="shared" si="8"/>
        <v>276.5000000000009</v>
      </c>
      <c r="I50" s="1">
        <f t="shared" si="6"/>
        <v>3109.800000000001</v>
      </c>
    </row>
    <row r="51" spans="1:9" ht="18">
      <c r="A51" s="31" t="s">
        <v>2</v>
      </c>
      <c r="B51" s="52">
        <v>0</v>
      </c>
      <c r="C51" s="53">
        <v>9.7</v>
      </c>
      <c r="D51" s="54"/>
      <c r="E51" s="13">
        <f>D51/D49*100</f>
        <v>0</v>
      </c>
      <c r="F51" s="1"/>
      <c r="G51" s="1">
        <f t="shared" si="5"/>
        <v>0</v>
      </c>
      <c r="H51" s="1">
        <f t="shared" si="8"/>
        <v>0</v>
      </c>
      <c r="I51" s="1">
        <f t="shared" si="6"/>
        <v>9.7</v>
      </c>
    </row>
    <row r="52" spans="1:9" ht="18">
      <c r="A52" s="31" t="s">
        <v>1</v>
      </c>
      <c r="B52" s="52">
        <v>172</v>
      </c>
      <c r="C52" s="53">
        <v>325</v>
      </c>
      <c r="D52" s="54">
        <f>2.4+4.2+4.2+8.7+3.1+5.2-0.1+2.3+6.7+7.1+0.1+3.9+3.5+21.5+2.5-0.1+4.3+17.5</f>
        <v>97.00000000000001</v>
      </c>
      <c r="E52" s="1">
        <f>D52/D49*100</f>
        <v>1.4564564564564568</v>
      </c>
      <c r="F52" s="1">
        <f t="shared" si="7"/>
        <v>56.39534883720931</v>
      </c>
      <c r="G52" s="1">
        <f t="shared" si="5"/>
        <v>29.84615384615385</v>
      </c>
      <c r="H52" s="1">
        <f t="shared" si="8"/>
        <v>74.99999999999999</v>
      </c>
      <c r="I52" s="1">
        <f t="shared" si="6"/>
        <v>228</v>
      </c>
    </row>
    <row r="53" spans="1:9" ht="18">
      <c r="A53" s="31" t="s">
        <v>0</v>
      </c>
      <c r="B53" s="52">
        <v>235.4</v>
      </c>
      <c r="C53" s="53">
        <v>534.1</v>
      </c>
      <c r="D53" s="54">
        <f>6+11+5+10.4+0.1+20.8+16+0.1+76.5+39.2+7.7+0.3+8.1+0.1+0.2+12-0.1+0.1+4.7+0.1+6.4+2.7</f>
        <v>227.39999999999992</v>
      </c>
      <c r="E53" s="1">
        <f>D53/D49*100</f>
        <v>3.4144144144144137</v>
      </c>
      <c r="F53" s="1">
        <f t="shared" si="7"/>
        <v>96.60152931180966</v>
      </c>
      <c r="G53" s="1">
        <f t="shared" si="5"/>
        <v>42.57629657367533</v>
      </c>
      <c r="H53" s="1">
        <f t="shared" si="8"/>
        <v>8.000000000000085</v>
      </c>
      <c r="I53" s="1">
        <f t="shared" si="6"/>
        <v>306.7000000000001</v>
      </c>
    </row>
    <row r="54" spans="1:9" ht="18.75" thickBot="1">
      <c r="A54" s="31" t="s">
        <v>35</v>
      </c>
      <c r="B54" s="53">
        <f>B49-B50-B53-B52-B51</f>
        <v>2364.9</v>
      </c>
      <c r="C54" s="53">
        <f>C49-C50-C53-C52-C51</f>
        <v>3779.2999999999984</v>
      </c>
      <c r="D54" s="53">
        <f>D49-D50-D53-D52-D51</f>
        <v>1953.3000000000006</v>
      </c>
      <c r="E54" s="1">
        <f>D54/D49*100</f>
        <v>29.32882882882884</v>
      </c>
      <c r="F54" s="1">
        <f t="shared" si="7"/>
        <v>82.59545858175824</v>
      </c>
      <c r="G54" s="1">
        <f t="shared" si="5"/>
        <v>51.684174317995435</v>
      </c>
      <c r="H54" s="1">
        <f t="shared" si="8"/>
        <v>411.59999999999945</v>
      </c>
      <c r="I54" s="1">
        <f>C54-D54</f>
        <v>1825.9999999999977</v>
      </c>
    </row>
    <row r="55" spans="1:9" s="47" customFormat="1" ht="19.5" hidden="1" thickBot="1">
      <c r="A55" s="114" t="s">
        <v>89</v>
      </c>
      <c r="B55" s="112"/>
      <c r="C55" s="112"/>
      <c r="D55" s="112"/>
      <c r="E55" s="1"/>
      <c r="F55" s="113" t="e">
        <f t="shared" si="7"/>
        <v>#DIV/0!</v>
      </c>
      <c r="G55" s="113" t="e">
        <f t="shared" si="5"/>
        <v>#DIV/0!</v>
      </c>
      <c r="H55" s="113">
        <f t="shared" si="8"/>
        <v>0</v>
      </c>
      <c r="I55" s="113">
        <f>C55-D55</f>
        <v>0</v>
      </c>
    </row>
    <row r="56" spans="1:9" ht="18.75" thickBot="1">
      <c r="A56" s="30" t="s">
        <v>6</v>
      </c>
      <c r="B56" s="55">
        <v>2352.4</v>
      </c>
      <c r="C56" s="56">
        <f>3908.9-890.1</f>
        <v>3018.8</v>
      </c>
      <c r="D56" s="57">
        <f>128-60.9+102.5+11.8+75.2+16.7+4.5+87.9+0.1+68.6+30.5+35.2+2.4+30+93-9.8+0.1+1.7+68.5+10.2+1.8+24.5+103.7+27.9-0.2+10.2+8.1+67+7.8+116.4+1.9+0.1+112.6+7.7+3.6+49.7+2.7+83+1.2+238+33+52.1+52.4+257+25.7+26.3+35</f>
        <v>2045.4</v>
      </c>
      <c r="E56" s="3">
        <f>D56/D134*100</f>
        <v>0.5460074109014087</v>
      </c>
      <c r="F56" s="3">
        <f>D56/B56*100</f>
        <v>86.94949838462847</v>
      </c>
      <c r="G56" s="3">
        <f t="shared" si="5"/>
        <v>67.75539949648866</v>
      </c>
      <c r="H56" s="3">
        <f>B56-D56</f>
        <v>307</v>
      </c>
      <c r="I56" s="3">
        <f t="shared" si="6"/>
        <v>973.4000000000001</v>
      </c>
    </row>
    <row r="57" spans="1:9" ht="18">
      <c r="A57" s="31" t="s">
        <v>3</v>
      </c>
      <c r="B57" s="52">
        <v>1272</v>
      </c>
      <c r="C57" s="53">
        <f>2589.6-887.6</f>
        <v>1702</v>
      </c>
      <c r="D57" s="54">
        <f>128-60.9+102.5+75.2+87.9+68.6+30+93+68.5+96.9-0.1+67+116.4+112.6+49.7+83+52.4+24.4+26.3</f>
        <v>1221.4</v>
      </c>
      <c r="E57" s="1">
        <f>D57/D56*100</f>
        <v>59.71448127505623</v>
      </c>
      <c r="F57" s="1">
        <f t="shared" si="7"/>
        <v>96.02201257861635</v>
      </c>
      <c r="G57" s="1">
        <f t="shared" si="5"/>
        <v>71.76263219741482</v>
      </c>
      <c r="H57" s="1">
        <f t="shared" si="8"/>
        <v>50.59999999999991</v>
      </c>
      <c r="I57" s="1">
        <f t="shared" si="6"/>
        <v>480.5999999999999</v>
      </c>
    </row>
    <row r="58" spans="1:9" ht="18">
      <c r="A58" s="31" t="s">
        <v>1</v>
      </c>
      <c r="B58" s="52">
        <v>126</v>
      </c>
      <c r="C58" s="53">
        <v>188.9</v>
      </c>
      <c r="D58" s="54">
        <f>33+49+35</f>
        <v>117</v>
      </c>
      <c r="E58" s="1">
        <f>D58/D56*100</f>
        <v>5.720152537400997</v>
      </c>
      <c r="F58" s="1">
        <f t="shared" si="7"/>
        <v>92.85714285714286</v>
      </c>
      <c r="G58" s="1">
        <f t="shared" si="5"/>
        <v>61.937533086289044</v>
      </c>
      <c r="H58" s="1">
        <f t="shared" si="8"/>
        <v>9</v>
      </c>
      <c r="I58" s="1">
        <f t="shared" si="6"/>
        <v>71.9</v>
      </c>
    </row>
    <row r="59" spans="1:9" ht="18">
      <c r="A59" s="31" t="s">
        <v>0</v>
      </c>
      <c r="B59" s="52">
        <v>133.5</v>
      </c>
      <c r="C59" s="53">
        <f>297.4-9.5</f>
        <v>287.9</v>
      </c>
      <c r="D59" s="54">
        <f>4.5+4.5+30.5+35.2+10+24.5+10.2+0.1+1.9+1.8+3.1</f>
        <v>126.3</v>
      </c>
      <c r="E59" s="1">
        <f>D59/D56*100</f>
        <v>6.1748313288354355</v>
      </c>
      <c r="F59" s="1">
        <f t="shared" si="7"/>
        <v>94.6067415730337</v>
      </c>
      <c r="G59" s="1">
        <f t="shared" si="5"/>
        <v>43.86939909690865</v>
      </c>
      <c r="H59" s="1">
        <f t="shared" si="8"/>
        <v>7.200000000000003</v>
      </c>
      <c r="I59" s="1">
        <f t="shared" si="6"/>
        <v>161.59999999999997</v>
      </c>
    </row>
    <row r="60" spans="1:9" ht="18">
      <c r="A60" s="31" t="s">
        <v>15</v>
      </c>
      <c r="B60" s="52">
        <v>728.7</v>
      </c>
      <c r="C60" s="53">
        <v>728.7</v>
      </c>
      <c r="D60" s="54">
        <f>238+257</f>
        <v>495</v>
      </c>
      <c r="E60" s="1">
        <f>D60/D56*100</f>
        <v>24.20064535054268</v>
      </c>
      <c r="F60" s="1">
        <f t="shared" si="7"/>
        <v>67.92918896665294</v>
      </c>
      <c r="G60" s="1">
        <f t="shared" si="5"/>
        <v>67.92918896665294</v>
      </c>
      <c r="H60" s="1">
        <f t="shared" si="8"/>
        <v>233.70000000000005</v>
      </c>
      <c r="I60" s="1">
        <f t="shared" si="6"/>
        <v>233.70000000000005</v>
      </c>
    </row>
    <row r="61" spans="1:9" ht="18.75" thickBot="1">
      <c r="A61" s="31" t="s">
        <v>35</v>
      </c>
      <c r="B61" s="53">
        <f>B56-B57-B59-B60-B58</f>
        <v>92.20000000000005</v>
      </c>
      <c r="C61" s="53">
        <f>C56-C57-C59-C60-C58</f>
        <v>111.30000000000004</v>
      </c>
      <c r="D61" s="53">
        <f>D56-D57-D59-D60-D58</f>
        <v>85.70000000000005</v>
      </c>
      <c r="E61" s="1">
        <f>D61/D56*100</f>
        <v>4.189889508164664</v>
      </c>
      <c r="F61" s="1">
        <f t="shared" si="7"/>
        <v>92.95010845986985</v>
      </c>
      <c r="G61" s="1">
        <f t="shared" si="5"/>
        <v>76.99910152740343</v>
      </c>
      <c r="H61" s="1">
        <f t="shared" si="8"/>
        <v>6.5</v>
      </c>
      <c r="I61" s="1">
        <f t="shared" si="6"/>
        <v>25.599999999999994</v>
      </c>
    </row>
    <row r="62" spans="1:9" s="47" customFormat="1" ht="18.75" hidden="1">
      <c r="A62" s="114" t="s">
        <v>100</v>
      </c>
      <c r="B62" s="112"/>
      <c r="C62" s="112"/>
      <c r="D62" s="112"/>
      <c r="E62" s="113"/>
      <c r="F62" s="113" t="e">
        <f>D62/B62*100</f>
        <v>#DIV/0!</v>
      </c>
      <c r="G62" s="113" t="e">
        <f>D62/C62*100</f>
        <v>#DIV/0!</v>
      </c>
      <c r="H62" s="113">
        <f t="shared" si="8"/>
        <v>0</v>
      </c>
      <c r="I62" s="113">
        <f t="shared" si="6"/>
        <v>0</v>
      </c>
    </row>
    <row r="63" spans="1:9" s="47" customFormat="1" ht="18.75" hidden="1">
      <c r="A63" s="114" t="s">
        <v>86</v>
      </c>
      <c r="B63" s="112"/>
      <c r="C63" s="112"/>
      <c r="D63" s="112"/>
      <c r="E63" s="113"/>
      <c r="F63" s="113" t="e">
        <f t="shared" si="7"/>
        <v>#DIV/0!</v>
      </c>
      <c r="G63" s="113" t="e">
        <f t="shared" si="5"/>
        <v>#DIV/0!</v>
      </c>
      <c r="H63" s="113">
        <f t="shared" si="8"/>
        <v>0</v>
      </c>
      <c r="I63" s="113">
        <f t="shared" si="6"/>
        <v>0</v>
      </c>
    </row>
    <row r="64" spans="1:9" s="47" customFormat="1" ht="18.75" hidden="1">
      <c r="A64" s="114" t="s">
        <v>87</v>
      </c>
      <c r="B64" s="112"/>
      <c r="C64" s="112"/>
      <c r="D64" s="112"/>
      <c r="E64" s="113"/>
      <c r="F64" s="113" t="e">
        <f t="shared" si="7"/>
        <v>#DIV/0!</v>
      </c>
      <c r="G64" s="113" t="e">
        <f t="shared" si="5"/>
        <v>#DIV/0!</v>
      </c>
      <c r="H64" s="113">
        <f t="shared" si="8"/>
        <v>0</v>
      </c>
      <c r="I64" s="113">
        <f t="shared" si="6"/>
        <v>0</v>
      </c>
    </row>
    <row r="65" spans="1:9" s="47" customFormat="1" ht="19.5" hidden="1" thickBot="1">
      <c r="A65" s="114" t="s">
        <v>88</v>
      </c>
      <c r="B65" s="112"/>
      <c r="C65" s="112"/>
      <c r="D65" s="112"/>
      <c r="E65" s="113"/>
      <c r="F65" s="113" t="e">
        <f t="shared" si="7"/>
        <v>#DIV/0!</v>
      </c>
      <c r="G65" s="113" t="e">
        <f t="shared" si="5"/>
        <v>#DIV/0!</v>
      </c>
      <c r="H65" s="113">
        <f t="shared" si="8"/>
        <v>0</v>
      </c>
      <c r="I65" s="113">
        <f t="shared" si="6"/>
        <v>0</v>
      </c>
    </row>
    <row r="66" spans="1:9" ht="18.75" thickBot="1">
      <c r="A66" s="30" t="s">
        <v>24</v>
      </c>
      <c r="B66" s="56">
        <f>B67+B68</f>
        <v>273.6</v>
      </c>
      <c r="C66" s="56">
        <f>C67+C68</f>
        <v>460</v>
      </c>
      <c r="D66" s="57">
        <f>SUM(D67:D68)</f>
        <v>1.4</v>
      </c>
      <c r="E66" s="44">
        <f>D66/D134*100</f>
        <v>0.00037372170492909555</v>
      </c>
      <c r="F66" s="118">
        <f>D66/B66*100</f>
        <v>0.5116959064327484</v>
      </c>
      <c r="G66" s="3">
        <f t="shared" si="5"/>
        <v>0.30434782608695654</v>
      </c>
      <c r="H66" s="3">
        <f>B66-D66</f>
        <v>272.20000000000005</v>
      </c>
      <c r="I66" s="3">
        <f t="shared" si="6"/>
        <v>458.6</v>
      </c>
    </row>
    <row r="67" spans="1:9" ht="18">
      <c r="A67" s="31" t="s">
        <v>8</v>
      </c>
      <c r="B67" s="52">
        <v>161.1</v>
      </c>
      <c r="C67" s="53">
        <v>257.4</v>
      </c>
      <c r="D67" s="54">
        <f>1.4</f>
        <v>1.4</v>
      </c>
      <c r="E67" s="1"/>
      <c r="F67" s="1">
        <f t="shared" si="7"/>
        <v>0.8690254500310366</v>
      </c>
      <c r="G67" s="1">
        <f t="shared" si="5"/>
        <v>0.5439005439005439</v>
      </c>
      <c r="H67" s="1">
        <f t="shared" si="8"/>
        <v>159.7</v>
      </c>
      <c r="I67" s="1">
        <f t="shared" si="6"/>
        <v>255.99999999999997</v>
      </c>
    </row>
    <row r="68" spans="1:9" ht="18.75" thickBot="1">
      <c r="A68" s="31" t="s">
        <v>9</v>
      </c>
      <c r="B68" s="52">
        <v>112.5</v>
      </c>
      <c r="C68" s="53">
        <v>202.6</v>
      </c>
      <c r="D68" s="54"/>
      <c r="E68" s="1"/>
      <c r="F68" s="1">
        <f t="shared" si="7"/>
        <v>0</v>
      </c>
      <c r="G68" s="1">
        <f t="shared" si="5"/>
        <v>0</v>
      </c>
      <c r="H68" s="1">
        <f t="shared" si="8"/>
        <v>112.5</v>
      </c>
      <c r="I68" s="1">
        <f t="shared" si="6"/>
        <v>202.6</v>
      </c>
    </row>
    <row r="69" spans="1:9" ht="38.25" hidden="1" thickBot="1">
      <c r="A69" s="15" t="s">
        <v>51</v>
      </c>
      <c r="B69" s="64"/>
      <c r="C69" s="56">
        <f>C70+C71+C72+C73</f>
        <v>0</v>
      </c>
      <c r="D69" s="56">
        <f>D70+D71+D72+D73</f>
        <v>0</v>
      </c>
      <c r="E69" s="3">
        <f>D69/D134*100</f>
        <v>0</v>
      </c>
      <c r="F69" s="3" t="e">
        <f>D69/B69*100</f>
        <v>#DIV/0!</v>
      </c>
      <c r="G69" s="3" t="e">
        <f t="shared" si="5"/>
        <v>#DIV/0!</v>
      </c>
      <c r="H69" s="3">
        <f>B69-D69</f>
        <v>0</v>
      </c>
      <c r="I69" s="3">
        <f t="shared" si="6"/>
        <v>0</v>
      </c>
    </row>
    <row r="70" spans="1:9" ht="18.75" hidden="1">
      <c r="A70" s="25" t="s">
        <v>57</v>
      </c>
      <c r="B70" s="61"/>
      <c r="C70" s="68"/>
      <c r="D70" s="59"/>
      <c r="E70" s="39" t="e">
        <f>D70/D69*100</f>
        <v>#DIV/0!</v>
      </c>
      <c r="F70" s="1" t="e">
        <f t="shared" si="7"/>
        <v>#DIV/0!</v>
      </c>
      <c r="G70" s="1" t="e">
        <f t="shared" si="5"/>
        <v>#DIV/0!</v>
      </c>
      <c r="H70" s="1">
        <f t="shared" si="8"/>
        <v>0</v>
      </c>
      <c r="I70" s="1">
        <f t="shared" si="6"/>
        <v>0</v>
      </c>
    </row>
    <row r="71" spans="1:9" ht="18.75" hidden="1">
      <c r="A71" s="25" t="s">
        <v>58</v>
      </c>
      <c r="B71" s="61"/>
      <c r="C71" s="68"/>
      <c r="D71" s="59"/>
      <c r="E71" s="39" t="e">
        <f>D71/D69*100</f>
        <v>#DIV/0!</v>
      </c>
      <c r="F71" s="1" t="e">
        <f t="shared" si="7"/>
        <v>#DIV/0!</v>
      </c>
      <c r="G71" s="1" t="e">
        <f t="shared" si="5"/>
        <v>#DIV/0!</v>
      </c>
      <c r="H71" s="1">
        <f t="shared" si="8"/>
        <v>0</v>
      </c>
      <c r="I71" s="1">
        <f t="shared" si="6"/>
        <v>0</v>
      </c>
    </row>
    <row r="72" spans="1:9" ht="18.75" hidden="1">
      <c r="A72" s="32" t="s">
        <v>42</v>
      </c>
      <c r="B72" s="69"/>
      <c r="C72" s="70"/>
      <c r="D72" s="71"/>
      <c r="E72" s="39" t="e">
        <f>D72/D69*100</f>
        <v>#DIV/0!</v>
      </c>
      <c r="F72" s="39"/>
      <c r="G72" s="1" t="e">
        <f t="shared" si="5"/>
        <v>#DIV/0!</v>
      </c>
      <c r="H72" s="1"/>
      <c r="I72" s="1">
        <f t="shared" si="6"/>
        <v>0</v>
      </c>
    </row>
    <row r="73" spans="1:9" ht="19.5" hidden="1" thickBot="1">
      <c r="A73" s="32" t="s">
        <v>52</v>
      </c>
      <c r="B73" s="69"/>
      <c r="C73" s="70"/>
      <c r="D73" s="71"/>
      <c r="E73" s="39" t="e">
        <f>D73/D69*100</f>
        <v>#DIV/0!</v>
      </c>
      <c r="F73" s="39"/>
      <c r="G73" s="1" t="e">
        <f t="shared" si="5"/>
        <v>#DIV/0!</v>
      </c>
      <c r="H73" s="1"/>
      <c r="I73" s="1">
        <f t="shared" si="6"/>
        <v>0</v>
      </c>
    </row>
    <row r="74" spans="1:9" s="47" customFormat="1" ht="19.5" thickBot="1">
      <c r="A74" s="33" t="s">
        <v>14</v>
      </c>
      <c r="B74" s="65">
        <v>233.3</v>
      </c>
      <c r="C74" s="72">
        <v>400</v>
      </c>
      <c r="D74" s="73"/>
      <c r="E74" s="51"/>
      <c r="F74" s="51"/>
      <c r="G74" s="51"/>
      <c r="H74" s="51">
        <f>B74-D74</f>
        <v>233.3</v>
      </c>
      <c r="I74" s="51">
        <f t="shared" si="6"/>
        <v>400</v>
      </c>
    </row>
    <row r="75" spans="1:9" ht="8.25" customHeight="1" thickBot="1">
      <c r="A75" s="25"/>
      <c r="B75" s="61"/>
      <c r="C75" s="70"/>
      <c r="D75" s="71"/>
      <c r="E75" s="6"/>
      <c r="F75" s="6"/>
      <c r="G75" s="6"/>
      <c r="H75" s="6"/>
      <c r="I75" s="14"/>
    </row>
    <row r="76" spans="1:9" ht="18.75" customHeight="1" hidden="1" thickBot="1">
      <c r="A76" s="15" t="s">
        <v>80</v>
      </c>
      <c r="B76" s="64"/>
      <c r="C76" s="56">
        <f>C77+C78</f>
        <v>0</v>
      </c>
      <c r="D76" s="56">
        <f>D77+D78</f>
        <v>0</v>
      </c>
      <c r="E76" s="3">
        <f>D76/D134*100</f>
        <v>0</v>
      </c>
      <c r="F76" s="3" t="e">
        <f>D76/B76*100</f>
        <v>#DIV/0!</v>
      </c>
      <c r="G76" s="3" t="e">
        <f aca="true" t="shared" si="9" ref="G76:G90">D76/C76*100</f>
        <v>#DIV/0!</v>
      </c>
      <c r="H76" s="3">
        <f>B76-D76</f>
        <v>0</v>
      </c>
      <c r="I76" s="3">
        <f aca="true" t="shared" si="10" ref="I76:I90">C76-D76</f>
        <v>0</v>
      </c>
    </row>
    <row r="77" spans="1:9" s="8" customFormat="1" ht="18" hidden="1">
      <c r="A77" s="9" t="s">
        <v>79</v>
      </c>
      <c r="B77" s="74"/>
      <c r="C77" s="53">
        <f>50-50</f>
        <v>0</v>
      </c>
      <c r="D77" s="54"/>
      <c r="E77" s="111"/>
      <c r="F77" s="1" t="e">
        <f>D77/B77*100</f>
        <v>#DIV/0!</v>
      </c>
      <c r="G77" s="1" t="e">
        <f t="shared" si="9"/>
        <v>#DIV/0!</v>
      </c>
      <c r="H77" s="1">
        <f>B77-D77</f>
        <v>0</v>
      </c>
      <c r="I77" s="1">
        <f t="shared" si="10"/>
        <v>0</v>
      </c>
    </row>
    <row r="78" spans="1:9" s="8" customFormat="1" ht="31.5" hidden="1" thickBot="1">
      <c r="A78" s="9" t="s">
        <v>71</v>
      </c>
      <c r="B78" s="74"/>
      <c r="C78" s="53"/>
      <c r="D78" s="54"/>
      <c r="E78" s="111"/>
      <c r="F78" s="1" t="e">
        <f>D78/B78*100</f>
        <v>#DIV/0!</v>
      </c>
      <c r="G78" s="1" t="e">
        <f t="shared" si="9"/>
        <v>#DIV/0!</v>
      </c>
      <c r="H78" s="1">
        <f>B78-D78</f>
        <v>0</v>
      </c>
      <c r="I78" s="1">
        <f t="shared" si="10"/>
        <v>0</v>
      </c>
    </row>
    <row r="79" spans="1:9" s="8" customFormat="1" ht="16.5" customHeight="1" hidden="1">
      <c r="A79" s="9" t="s">
        <v>41</v>
      </c>
      <c r="B79" s="74"/>
      <c r="C79" s="53"/>
      <c r="D79" s="54"/>
      <c r="E79" s="1" t="e">
        <f>D79/D76*100</f>
        <v>#DIV/0!</v>
      </c>
      <c r="F79" s="1"/>
      <c r="G79" s="1" t="e">
        <f t="shared" si="9"/>
        <v>#DIV/0!</v>
      </c>
      <c r="H79" s="1"/>
      <c r="I79" s="1">
        <f t="shared" si="10"/>
        <v>0</v>
      </c>
    </row>
    <row r="80" spans="1:9" s="8" customFormat="1" ht="33" customHeight="1" hidden="1" thickBot="1">
      <c r="A80" s="9" t="s">
        <v>48</v>
      </c>
      <c r="B80" s="74"/>
      <c r="C80" s="53"/>
      <c r="D80" s="53"/>
      <c r="E80" s="1" t="e">
        <f>D80/D76*100</f>
        <v>#DIV/0!</v>
      </c>
      <c r="F80" s="1"/>
      <c r="G80" s="1" t="e">
        <f t="shared" si="9"/>
        <v>#DIV/0!</v>
      </c>
      <c r="H80" s="1"/>
      <c r="I80" s="1">
        <f t="shared" si="10"/>
        <v>0</v>
      </c>
    </row>
    <row r="81" spans="1:9" ht="35.25" customHeight="1" hidden="1" thickBot="1">
      <c r="A81" s="15" t="s">
        <v>43</v>
      </c>
      <c r="B81" s="64"/>
      <c r="C81" s="56">
        <f>C82+C83</f>
        <v>0</v>
      </c>
      <c r="D81" s="56">
        <f>D82+D83</f>
        <v>0</v>
      </c>
      <c r="E81" s="3">
        <f>D81/D134*100</f>
        <v>0</v>
      </c>
      <c r="F81" s="3"/>
      <c r="G81" s="3" t="e">
        <f t="shared" si="9"/>
        <v>#DIV/0!</v>
      </c>
      <c r="H81" s="3"/>
      <c r="I81" s="3">
        <f t="shared" si="10"/>
        <v>0</v>
      </c>
    </row>
    <row r="82" spans="1:9" ht="16.5" customHeight="1" hidden="1">
      <c r="A82" s="31" t="s">
        <v>30</v>
      </c>
      <c r="B82" s="52"/>
      <c r="C82" s="70"/>
      <c r="D82" s="70"/>
      <c r="E82" s="6" t="e">
        <f>D82/D81*100</f>
        <v>#DIV/0!</v>
      </c>
      <c r="F82" s="6"/>
      <c r="G82" s="6" t="e">
        <f t="shared" si="9"/>
        <v>#DIV/0!</v>
      </c>
      <c r="H82" s="6"/>
      <c r="I82" s="1">
        <f t="shared" si="10"/>
        <v>0</v>
      </c>
    </row>
    <row r="83" spans="1:9" ht="16.5" customHeight="1" hidden="1" thickBot="1">
      <c r="A83" s="31" t="s">
        <v>31</v>
      </c>
      <c r="B83" s="52"/>
      <c r="C83" s="70"/>
      <c r="D83" s="70"/>
      <c r="E83" s="6" t="e">
        <f>D83/D81*100</f>
        <v>#DIV/0!</v>
      </c>
      <c r="F83" s="6"/>
      <c r="G83" s="6" t="e">
        <f t="shared" si="9"/>
        <v>#DIV/0!</v>
      </c>
      <c r="H83" s="6"/>
      <c r="I83" s="1">
        <f t="shared" si="10"/>
        <v>0</v>
      </c>
    </row>
    <row r="84" spans="1:9" ht="34.5" customHeight="1" hidden="1" thickBot="1">
      <c r="A84" s="15" t="s">
        <v>44</v>
      </c>
      <c r="B84" s="64"/>
      <c r="C84" s="56">
        <f>SUM(C85:C86)</f>
        <v>0</v>
      </c>
      <c r="D84" s="56">
        <f>SUM(D85:D86)</f>
        <v>0</v>
      </c>
      <c r="E84" s="3">
        <f>D84/D134*100</f>
        <v>0</v>
      </c>
      <c r="F84" s="3"/>
      <c r="G84" s="3" t="e">
        <f t="shared" si="9"/>
        <v>#DIV/0!</v>
      </c>
      <c r="H84" s="3"/>
      <c r="I84" s="3">
        <f t="shared" si="10"/>
        <v>0</v>
      </c>
    </row>
    <row r="85" spans="1:9" ht="17.25" customHeight="1" hidden="1">
      <c r="A85" s="31" t="s">
        <v>30</v>
      </c>
      <c r="B85" s="52"/>
      <c r="C85" s="53"/>
      <c r="D85" s="54"/>
      <c r="E85" s="1" t="e">
        <f>D85/D84*100</f>
        <v>#DIV/0!</v>
      </c>
      <c r="F85" s="1"/>
      <c r="G85" s="1" t="e">
        <f t="shared" si="9"/>
        <v>#DIV/0!</v>
      </c>
      <c r="H85" s="1"/>
      <c r="I85" s="1">
        <f t="shared" si="10"/>
        <v>0</v>
      </c>
    </row>
    <row r="86" spans="1:9" ht="17.25" customHeight="1" hidden="1" thickBot="1">
      <c r="A86" s="31" t="s">
        <v>31</v>
      </c>
      <c r="B86" s="52"/>
      <c r="C86" s="53"/>
      <c r="D86" s="54"/>
      <c r="E86" s="1" t="e">
        <f>D86/D84*100</f>
        <v>#DIV/0!</v>
      </c>
      <c r="F86" s="1"/>
      <c r="G86" s="1" t="e">
        <f t="shared" si="9"/>
        <v>#DIV/0!</v>
      </c>
      <c r="H86" s="1"/>
      <c r="I86" s="1">
        <f t="shared" si="10"/>
        <v>0</v>
      </c>
    </row>
    <row r="87" spans="1:9" ht="19.5" thickBot="1">
      <c r="A87" s="15" t="s">
        <v>10</v>
      </c>
      <c r="B87" s="64">
        <f>27699+60</f>
        <v>27759</v>
      </c>
      <c r="C87" s="56">
        <f>44816.4+146.6</f>
        <v>44963</v>
      </c>
      <c r="D87" s="57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+49.9+51.1+30.3+25+1482.9+55.9+50+74+114+46+1659.4+98.9+140.3+0.1+100+87.3+42+50+160.9+137.2+146.3+1099.8+11+34.3+69.2+4.9+19.2+12.9+1924.2+24.6+94.4+157.9+27.1+10+29.7+0.1+2.3+0.9+2.4+1230.3+10+5.4+7.5+26+27.9+195.1+89.2+0.1+1960.4</f>
        <v>26061.500000000007</v>
      </c>
      <c r="E87" s="3">
        <f>D87/D134*100</f>
        <v>6.95696300929259</v>
      </c>
      <c r="F87" s="3">
        <f aca="true" t="shared" si="11" ref="F87:F92">D87/B87*100</f>
        <v>93.88486616953064</v>
      </c>
      <c r="G87" s="3">
        <f t="shared" si="9"/>
        <v>57.96210217289774</v>
      </c>
      <c r="H87" s="3">
        <f aca="true" t="shared" si="12" ref="H87:H92">B87-D87</f>
        <v>1697.4999999999927</v>
      </c>
      <c r="I87" s="3">
        <f t="shared" si="10"/>
        <v>18901.499999999993</v>
      </c>
    </row>
    <row r="88" spans="1:9" ht="18">
      <c r="A88" s="31" t="s">
        <v>3</v>
      </c>
      <c r="B88" s="52">
        <f>22655.6+60+9.8</f>
        <v>22725.399999999998</v>
      </c>
      <c r="C88" s="53">
        <f>38623.9-611.6</f>
        <v>38012.3</v>
      </c>
      <c r="D88" s="54">
        <f>3.8+55.8+877.5+206+1.6+755.1+834.4+26.6+41.3+1268.7+0.5+8.5+536.6+685.6+565+6.3-0.1+21.4+100.1+302.4+492.5+445.4+29.6+0.1+201.4+262.7+1370.2+24.4-0.1+35.6+18.8+8.4+764.2+651.1+17.3+9.9+12+37.6+3+1586.6+20.4+1318.5+14.1+1654.4+83.7+12.9+128.8+146+1098.6+59.1+0.2+1924.2-0.1+72.6+157.9+27.1+28.5+1193.9+4.4+9.2+7.5+1960.4</f>
        <v>22190.100000000002</v>
      </c>
      <c r="E88" s="1">
        <f>D88/D87*100</f>
        <v>85.14513746330793</v>
      </c>
      <c r="F88" s="1">
        <f t="shared" si="11"/>
        <v>97.64448590563865</v>
      </c>
      <c r="G88" s="1">
        <f t="shared" si="9"/>
        <v>58.376104576676504</v>
      </c>
      <c r="H88" s="1">
        <f t="shared" si="12"/>
        <v>535.2999999999956</v>
      </c>
      <c r="I88" s="1">
        <f t="shared" si="10"/>
        <v>15822.2</v>
      </c>
    </row>
    <row r="89" spans="1:9" ht="18">
      <c r="A89" s="31" t="s">
        <v>33</v>
      </c>
      <c r="B89" s="52">
        <v>1304.9</v>
      </c>
      <c r="C89" s="53">
        <f>1866.3+51.3</f>
        <v>1917.6</v>
      </c>
      <c r="D89" s="54">
        <f>125+55.5+51.3+1.7-0.1+10.4+5.3+280.6+162.7+2.2+25.3+117.8+56.8+64.4+1.4+31+7.8+37.2+1.9+36.4+8.8+1+3.9</f>
        <v>1088.3000000000002</v>
      </c>
      <c r="E89" s="1">
        <f>D89/D87*100</f>
        <v>4.17589164092627</v>
      </c>
      <c r="F89" s="1">
        <f t="shared" si="11"/>
        <v>83.40102689861293</v>
      </c>
      <c r="G89" s="1">
        <f t="shared" si="9"/>
        <v>56.7532332081769</v>
      </c>
      <c r="H89" s="1">
        <f t="shared" si="12"/>
        <v>216.5999999999999</v>
      </c>
      <c r="I89" s="1">
        <f t="shared" si="10"/>
        <v>829.2999999999997</v>
      </c>
    </row>
    <row r="90" spans="1:9" ht="18" hidden="1">
      <c r="A90" s="31" t="s">
        <v>15</v>
      </c>
      <c r="B90" s="52"/>
      <c r="C90" s="53"/>
      <c r="D90" s="53"/>
      <c r="E90" s="13">
        <f>D90/D87*100</f>
        <v>0</v>
      </c>
      <c r="F90" s="1"/>
      <c r="G90" s="1" t="e">
        <f t="shared" si="9"/>
        <v>#DIV/0!</v>
      </c>
      <c r="H90" s="1">
        <f t="shared" si="12"/>
        <v>0</v>
      </c>
      <c r="I90" s="1">
        <f t="shared" si="10"/>
        <v>0</v>
      </c>
    </row>
    <row r="91" spans="1:9" ht="18.75" thickBot="1">
      <c r="A91" s="31" t="s">
        <v>35</v>
      </c>
      <c r="B91" s="53">
        <f>B87-B88-B89-B90</f>
        <v>3728.700000000002</v>
      </c>
      <c r="C91" s="53">
        <f>C87-C88-C89-C90</f>
        <v>5033.099999999997</v>
      </c>
      <c r="D91" s="53">
        <f>D87-D88-D89-D90</f>
        <v>2783.100000000005</v>
      </c>
      <c r="E91" s="1">
        <f>D91/D87*100</f>
        <v>10.6789708957658</v>
      </c>
      <c r="F91" s="1">
        <f t="shared" si="11"/>
        <v>74.63995494408248</v>
      </c>
      <c r="G91" s="1">
        <f>D91/C91*100</f>
        <v>55.295940871431256</v>
      </c>
      <c r="H91" s="1">
        <f t="shared" si="12"/>
        <v>945.5999999999972</v>
      </c>
      <c r="I91" s="1">
        <f>C91-D91</f>
        <v>2249.999999999992</v>
      </c>
    </row>
    <row r="92" spans="1:9" ht="19.5" thickBot="1">
      <c r="A92" s="15" t="s">
        <v>12</v>
      </c>
      <c r="B92" s="64">
        <v>27688.1</v>
      </c>
      <c r="C92" s="75">
        <f>39290.3+3989.1</f>
        <v>43279.4</v>
      </c>
      <c r="D92" s="57">
        <f>2618.9+2514.7+108.2+3415.7+1160.5+185.2+4.1+84.7+287.5+200+100+150+100+100+200+100+100+200+130+350+114+133.6+100+100+42.6+152.4+200+150+76.7+100+150+250+150+100+138.2+500+200+200+449.8+122.1+101.5+141.9+350+100+98.7+150+200-0.1+366+100+134.5+400+100+87+352.2+50+252.1+100+200+280+200+300</f>
        <v>19602.700000000004</v>
      </c>
      <c r="E92" s="3">
        <f>D92/D134*100</f>
        <v>5.232824618009702</v>
      </c>
      <c r="F92" s="3">
        <f t="shared" si="11"/>
        <v>70.79828518388767</v>
      </c>
      <c r="G92" s="3">
        <f>D92/C92*100</f>
        <v>45.293372828643655</v>
      </c>
      <c r="H92" s="3">
        <f t="shared" si="12"/>
        <v>8085.399999999994</v>
      </c>
      <c r="I92" s="3">
        <f>C92-D92</f>
        <v>23676.699999999997</v>
      </c>
    </row>
    <row r="93" spans="1:9" ht="8.25" customHeight="1" thickBot="1">
      <c r="A93" s="34"/>
      <c r="B93" s="76"/>
      <c r="C93" s="77"/>
      <c r="D93" s="78"/>
      <c r="E93" s="16"/>
      <c r="F93" s="6"/>
      <c r="G93" s="6"/>
      <c r="H93" s="6"/>
      <c r="I93" s="6"/>
    </row>
    <row r="94" spans="1:9" ht="19.5" hidden="1" thickBot="1">
      <c r="A94" s="35" t="s">
        <v>46</v>
      </c>
      <c r="B94" s="79"/>
      <c r="C94" s="80"/>
      <c r="D94" s="81"/>
      <c r="E94" s="3">
        <f>D94/D134*100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4"/>
      <c r="B95" s="76"/>
      <c r="C95" s="77"/>
      <c r="D95" s="78"/>
      <c r="E95" s="16"/>
      <c r="F95" s="6"/>
      <c r="G95" s="6"/>
      <c r="H95" s="6"/>
      <c r="I95" s="14"/>
    </row>
    <row r="96" spans="1:9" s="17" customFormat="1" ht="36" customHeight="1" hidden="1" thickBot="1">
      <c r="A96" s="15" t="s">
        <v>68</v>
      </c>
      <c r="B96" s="64"/>
      <c r="C96" s="56"/>
      <c r="D96" s="57"/>
      <c r="E96" s="3">
        <f>D96/D134*100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8"/>
      <c r="B97" s="108"/>
      <c r="C97" s="77"/>
      <c r="D97" s="78"/>
      <c r="E97" s="16"/>
      <c r="F97" s="6"/>
      <c r="G97" s="6"/>
      <c r="H97" s="6"/>
      <c r="I97" s="14"/>
    </row>
    <row r="98" spans="1:9" s="47" customFormat="1" ht="19.5" thickBot="1">
      <c r="A98" s="15" t="s">
        <v>11</v>
      </c>
      <c r="B98" s="64">
        <v>3883.7</v>
      </c>
      <c r="C98" s="110">
        <f>5290.2+873.6</f>
        <v>6163.8</v>
      </c>
      <c r="D98" s="94">
        <f>111.6+19.4+112.6-0.1+0.9+99.9+111.6+6.9+7.2+47.9+73.3+25.9+28.7+425.6+10.7+10.8+95.5+241.7+128.5+184.1+105.5+17.7+1.5+12.7+140+2.5+123.7+119.6+27+29.2+112.9+89.4+83.4+25.6+9.6+151.6+27.2+186.9+4.9+4+23.9+115.6+3.9+14.3+5.6+19.1+99.9+28.6+8.8+4.8</f>
        <v>3342.1000000000004</v>
      </c>
      <c r="E98" s="27">
        <f>D98/D134*100</f>
        <v>0.892153792888236</v>
      </c>
      <c r="F98" s="27">
        <f>D98/B98*100</f>
        <v>86.05453562324588</v>
      </c>
      <c r="G98" s="27">
        <f aca="true" t="shared" si="13" ref="G98:G111">D98/C98*100</f>
        <v>54.22142185015737</v>
      </c>
      <c r="H98" s="27">
        <f>B98-D98</f>
        <v>541.5999999999995</v>
      </c>
      <c r="I98" s="27">
        <f aca="true" t="shared" si="14" ref="I98:I132">C98-D98</f>
        <v>2821.7</v>
      </c>
    </row>
    <row r="99" spans="1:9" ht="18">
      <c r="A99" s="95" t="s">
        <v>66</v>
      </c>
      <c r="B99" s="105">
        <v>15.2</v>
      </c>
      <c r="C99" s="103">
        <f>23.5-2.3-6</f>
        <v>15.2</v>
      </c>
      <c r="D99" s="103">
        <f>12.7+2.5</f>
        <v>15.2</v>
      </c>
      <c r="E99" s="99">
        <f>D99/D98*100</f>
        <v>0.4548038658328595</v>
      </c>
      <c r="F99" s="1">
        <f>D99/B99*100</f>
        <v>100</v>
      </c>
      <c r="G99" s="99">
        <f>D99/C99*100</f>
        <v>100</v>
      </c>
      <c r="H99" s="99">
        <f>B99-D99</f>
        <v>0</v>
      </c>
      <c r="I99" s="99">
        <f t="shared" si="14"/>
        <v>0</v>
      </c>
    </row>
    <row r="100" spans="1:9" ht="18">
      <c r="A100" s="101" t="s">
        <v>65</v>
      </c>
      <c r="B100" s="85">
        <v>3592</v>
      </c>
      <c r="C100" s="54">
        <f>4699.6+1.8+903.3-10.8-3+21.3+0.1</f>
        <v>5612.300000000001</v>
      </c>
      <c r="D100" s="54">
        <f>111.4+112.6+0.9+99.8+111.4+47.6+73.3-0.9+24.7+28.7+415.6+4.4+7.7+94.7+205.4+127.9+182.3+101.7+1.5+137.1+2.5+115.1+119.6+27+29+84.6-0.1+88.5+83.4+12.5+9.5+150.1+22.5+186.2+4.9+4+114.4+3.8+14.2+19.1+99.9+6+8.7+4.7</f>
        <v>3097.9</v>
      </c>
      <c r="E100" s="1">
        <f>D100/D98*100</f>
        <v>92.69321683971155</v>
      </c>
      <c r="F100" s="1">
        <f aca="true" t="shared" si="15" ref="F100:F132">D100/B100*100</f>
        <v>86.2444320712695</v>
      </c>
      <c r="G100" s="1">
        <f t="shared" si="13"/>
        <v>55.19840350658375</v>
      </c>
      <c r="H100" s="1">
        <f>B100-D100</f>
        <v>494.0999999999999</v>
      </c>
      <c r="I100" s="1">
        <f t="shared" si="14"/>
        <v>2514.400000000001</v>
      </c>
    </row>
    <row r="101" spans="1:9" ht="18.75" thickBot="1">
      <c r="A101" s="102" t="s">
        <v>35</v>
      </c>
      <c r="B101" s="104">
        <f>B98-B99-B100</f>
        <v>276.5</v>
      </c>
      <c r="C101" s="104">
        <f>C98-C99-C100</f>
        <v>536.2999999999993</v>
      </c>
      <c r="D101" s="104">
        <f>D98-D99-D100</f>
        <v>229.00000000000045</v>
      </c>
      <c r="E101" s="100">
        <f>D101/D98*100</f>
        <v>6.851979294455594</v>
      </c>
      <c r="F101" s="100">
        <f t="shared" si="15"/>
        <v>82.82097649186272</v>
      </c>
      <c r="G101" s="100">
        <f t="shared" si="13"/>
        <v>42.69998135372008</v>
      </c>
      <c r="H101" s="100">
        <f>B101-D101</f>
        <v>47.499999999999545</v>
      </c>
      <c r="I101" s="100">
        <f t="shared" si="14"/>
        <v>307.2999999999988</v>
      </c>
    </row>
    <row r="102" spans="1:9" s="2" customFormat="1" ht="26.25" customHeight="1" thickBot="1">
      <c r="A102" s="96" t="s">
        <v>36</v>
      </c>
      <c r="B102" s="97">
        <f>SUM(B103:B131)-B110-B114+B132-B127-B128-B104-B107</f>
        <v>9903.899999999998</v>
      </c>
      <c r="C102" s="97">
        <f>SUM(C103:C131)-C110-C114+C132-C127-C128-C104-C107</f>
        <v>16857.2</v>
      </c>
      <c r="D102" s="97">
        <f>SUM(D103:D131)-D110-D114+D132-D127-D128-D104-D107</f>
        <v>7074.400000000001</v>
      </c>
      <c r="E102" s="98">
        <f>D102/D134*100</f>
        <v>1.88846916382171</v>
      </c>
      <c r="F102" s="98">
        <f>D102/B102*100</f>
        <v>71.43044659174672</v>
      </c>
      <c r="G102" s="98">
        <f t="shared" si="13"/>
        <v>41.96663740122915</v>
      </c>
      <c r="H102" s="98">
        <f>B102-D102</f>
        <v>2829.4999999999973</v>
      </c>
      <c r="I102" s="98">
        <f t="shared" si="14"/>
        <v>9782.8</v>
      </c>
    </row>
    <row r="103" spans="1:9" ht="37.5">
      <c r="A103" s="36" t="s">
        <v>69</v>
      </c>
      <c r="B103" s="82">
        <v>1098.4</v>
      </c>
      <c r="C103" s="78">
        <v>1869.9</v>
      </c>
      <c r="D103" s="83">
        <f>1.4+20.1+85.2+143.2+49+97.4+39.5+2.1+10</f>
        <v>447.9</v>
      </c>
      <c r="E103" s="6">
        <f>D103/D102*100</f>
        <v>6.331278977722492</v>
      </c>
      <c r="F103" s="6">
        <f t="shared" si="15"/>
        <v>40.7774945375091</v>
      </c>
      <c r="G103" s="6">
        <f t="shared" si="13"/>
        <v>23.953152575004008</v>
      </c>
      <c r="H103" s="6">
        <f aca="true" t="shared" si="16" ref="H103:H132">B103-D103</f>
        <v>650.5000000000001</v>
      </c>
      <c r="I103" s="6">
        <f t="shared" si="14"/>
        <v>1422</v>
      </c>
    </row>
    <row r="104" spans="1:9" ht="18">
      <c r="A104" s="31" t="s">
        <v>33</v>
      </c>
      <c r="B104" s="85">
        <v>725.5</v>
      </c>
      <c r="C104" s="54">
        <f>1242.6+0.7</f>
        <v>1243.3</v>
      </c>
      <c r="D104" s="86">
        <f>1.4+85.2+143.2+49+2.1+10</f>
        <v>290.90000000000003</v>
      </c>
      <c r="E104" s="1"/>
      <c r="F104" s="1">
        <f t="shared" si="15"/>
        <v>40.09648518263268</v>
      </c>
      <c r="G104" s="1">
        <f t="shared" si="13"/>
        <v>23.397410118233736</v>
      </c>
      <c r="H104" s="1">
        <f t="shared" si="16"/>
        <v>434.59999999999997</v>
      </c>
      <c r="I104" s="1">
        <f t="shared" si="14"/>
        <v>952.3999999999999</v>
      </c>
    </row>
    <row r="105" spans="1:9" ht="34.5" customHeight="1">
      <c r="A105" s="19" t="s">
        <v>106</v>
      </c>
      <c r="B105" s="84">
        <v>200</v>
      </c>
      <c r="C105" s="71">
        <v>857.5</v>
      </c>
      <c r="D105" s="83"/>
      <c r="E105" s="6">
        <f>D105/D102*100</f>
        <v>0</v>
      </c>
      <c r="F105" s="6">
        <f>D105/B105*100</f>
        <v>0</v>
      </c>
      <c r="G105" s="6">
        <f t="shared" si="13"/>
        <v>0</v>
      </c>
      <c r="H105" s="6">
        <f t="shared" si="16"/>
        <v>200</v>
      </c>
      <c r="I105" s="6">
        <f t="shared" si="14"/>
        <v>857.5</v>
      </c>
    </row>
    <row r="106" spans="1:9" ht="34.5" customHeight="1">
      <c r="A106" s="19" t="s">
        <v>78</v>
      </c>
      <c r="B106" s="84">
        <v>19.8</v>
      </c>
      <c r="C106" s="71">
        <v>36.5</v>
      </c>
      <c r="D106" s="83">
        <f>13.5</f>
        <v>13.5</v>
      </c>
      <c r="E106" s="6">
        <f>D106/D102*100</f>
        <v>0.19082890421802554</v>
      </c>
      <c r="F106" s="6">
        <f t="shared" si="15"/>
        <v>68.18181818181817</v>
      </c>
      <c r="G106" s="6">
        <f t="shared" si="13"/>
        <v>36.986301369863014</v>
      </c>
      <c r="H106" s="6">
        <f t="shared" si="16"/>
        <v>6.300000000000001</v>
      </c>
      <c r="I106" s="6">
        <f t="shared" si="14"/>
        <v>23</v>
      </c>
    </row>
    <row r="107" spans="1:9" ht="18" hidden="1">
      <c r="A107" s="31" t="s">
        <v>33</v>
      </c>
      <c r="B107" s="85"/>
      <c r="C107" s="54"/>
      <c r="D107" s="86"/>
      <c r="E107" s="1"/>
      <c r="F107" s="1" t="e">
        <f t="shared" si="15"/>
        <v>#DIV/0!</v>
      </c>
      <c r="G107" s="1" t="e">
        <f t="shared" si="13"/>
        <v>#DIV/0!</v>
      </c>
      <c r="H107" s="1">
        <f t="shared" si="16"/>
        <v>0</v>
      </c>
      <c r="I107" s="1">
        <f t="shared" si="14"/>
        <v>0</v>
      </c>
    </row>
    <row r="108" spans="1:9" ht="37.5">
      <c r="A108" s="19" t="s">
        <v>77</v>
      </c>
      <c r="B108" s="84">
        <v>43.7</v>
      </c>
      <c r="C108" s="71">
        <v>75.5</v>
      </c>
      <c r="D108" s="83">
        <f>5.5+5.5+5.5-0.1+5.5+5.5+5.5</f>
        <v>32.9</v>
      </c>
      <c r="E108" s="6">
        <f>D108/D102*100</f>
        <v>0.4650571073165215</v>
      </c>
      <c r="F108" s="6">
        <f t="shared" si="15"/>
        <v>75.28604118993134</v>
      </c>
      <c r="G108" s="6">
        <f t="shared" si="13"/>
        <v>43.57615894039735</v>
      </c>
      <c r="H108" s="6">
        <f t="shared" si="16"/>
        <v>10.800000000000004</v>
      </c>
      <c r="I108" s="6">
        <f t="shared" si="14"/>
        <v>42.6</v>
      </c>
    </row>
    <row r="109" spans="1:9" ht="37.5">
      <c r="A109" s="19" t="s">
        <v>47</v>
      </c>
      <c r="B109" s="84">
        <v>622.9</v>
      </c>
      <c r="C109" s="71">
        <v>1050</v>
      </c>
      <c r="D109" s="83">
        <f>149.7+2.5+4.1+81.3+2.1+67.3+8+8.2+93.7+3.3+1.1+74.6</f>
        <v>495.9</v>
      </c>
      <c r="E109" s="6">
        <f>D109/D102*100</f>
        <v>7.009781748275472</v>
      </c>
      <c r="F109" s="6">
        <f t="shared" si="15"/>
        <v>79.61149462192968</v>
      </c>
      <c r="G109" s="6">
        <f t="shared" si="13"/>
        <v>47.22857142857143</v>
      </c>
      <c r="H109" s="6">
        <f t="shared" si="16"/>
        <v>127</v>
      </c>
      <c r="I109" s="6">
        <f t="shared" si="14"/>
        <v>554.1</v>
      </c>
    </row>
    <row r="110" spans="1:9" ht="18" hidden="1">
      <c r="A110" s="42" t="s">
        <v>54</v>
      </c>
      <c r="B110" s="85"/>
      <c r="C110" s="54"/>
      <c r="D110" s="86"/>
      <c r="E110" s="6"/>
      <c r="F110" s="6" t="e">
        <f t="shared" si="15"/>
        <v>#DIV/0!</v>
      </c>
      <c r="G110" s="1" t="e">
        <f t="shared" si="13"/>
        <v>#DIV/0!</v>
      </c>
      <c r="H110" s="1">
        <f t="shared" si="16"/>
        <v>0</v>
      </c>
      <c r="I110" s="1">
        <f t="shared" si="14"/>
        <v>0</v>
      </c>
    </row>
    <row r="111" spans="1:9" s="47" customFormat="1" ht="18.75" customHeight="1">
      <c r="A111" s="19" t="s">
        <v>61</v>
      </c>
      <c r="B111" s="84">
        <v>74.5</v>
      </c>
      <c r="C111" s="63">
        <f>51.6+22.9</f>
        <v>74.5</v>
      </c>
      <c r="D111" s="87">
        <f>22.9</f>
        <v>22.9</v>
      </c>
      <c r="E111" s="21">
        <f>D111/D102*100</f>
        <v>0.32370236345131737</v>
      </c>
      <c r="F111" s="6">
        <f t="shared" si="15"/>
        <v>30.738255033557042</v>
      </c>
      <c r="G111" s="21">
        <f t="shared" si="13"/>
        <v>30.738255033557042</v>
      </c>
      <c r="H111" s="21">
        <f t="shared" si="16"/>
        <v>51.6</v>
      </c>
      <c r="I111" s="21">
        <f t="shared" si="14"/>
        <v>51.6</v>
      </c>
    </row>
    <row r="112" spans="1:9" ht="37.5">
      <c r="A112" s="19" t="s">
        <v>60</v>
      </c>
      <c r="B112" s="84">
        <v>132.6</v>
      </c>
      <c r="C112" s="71">
        <f>488.6-250</f>
        <v>238.60000000000002</v>
      </c>
      <c r="D112" s="83">
        <f>4.9+70</f>
        <v>74.9</v>
      </c>
      <c r="E112" s="6">
        <f>D112/D102*100</f>
        <v>1.0587470315503789</v>
      </c>
      <c r="F112" s="6">
        <f>D112/B112*100</f>
        <v>56.48567119155356</v>
      </c>
      <c r="G112" s="6">
        <f aca="true" t="shared" si="17" ref="G112:G132">D112/C112*100</f>
        <v>31.391450125733446</v>
      </c>
      <c r="H112" s="6">
        <f t="shared" si="16"/>
        <v>57.69999999999999</v>
      </c>
      <c r="I112" s="6">
        <f t="shared" si="14"/>
        <v>163.70000000000002</v>
      </c>
    </row>
    <row r="113" spans="1:9" s="2" customFormat="1" ht="18.75">
      <c r="A113" s="19" t="s">
        <v>16</v>
      </c>
      <c r="B113" s="84">
        <v>113.7</v>
      </c>
      <c r="C113" s="63">
        <v>153.4</v>
      </c>
      <c r="D113" s="83">
        <f>13.5+13.4+14.3+0.8+6.9+0.4+13.5-0.1+0.8+0.5+2+13.5-0.1+0.1+13.9+0.3+2.4</f>
        <v>96.10000000000001</v>
      </c>
      <c r="E113" s="6">
        <f>D113/D102*100</f>
        <v>1.3584190885446115</v>
      </c>
      <c r="F113" s="6">
        <f t="shared" si="15"/>
        <v>84.52066842568162</v>
      </c>
      <c r="G113" s="6">
        <f t="shared" si="17"/>
        <v>62.646675358539774</v>
      </c>
      <c r="H113" s="6">
        <f t="shared" si="16"/>
        <v>17.599999999999994</v>
      </c>
      <c r="I113" s="6">
        <f t="shared" si="14"/>
        <v>57.3</v>
      </c>
    </row>
    <row r="114" spans="1:9" s="41" customFormat="1" ht="18">
      <c r="A114" s="42" t="s">
        <v>54</v>
      </c>
      <c r="B114" s="85">
        <v>94.3</v>
      </c>
      <c r="C114" s="54">
        <v>121.2</v>
      </c>
      <c r="D114" s="86">
        <f>13.5+13.4+13.5+13.5+13.4+13.5</f>
        <v>80.8</v>
      </c>
      <c r="E114" s="1"/>
      <c r="F114" s="1">
        <f t="shared" si="15"/>
        <v>85.68398727465537</v>
      </c>
      <c r="G114" s="1">
        <f t="shared" si="17"/>
        <v>66.66666666666666</v>
      </c>
      <c r="H114" s="1">
        <f t="shared" si="16"/>
        <v>13.5</v>
      </c>
      <c r="I114" s="1">
        <f t="shared" si="14"/>
        <v>40.400000000000006</v>
      </c>
    </row>
    <row r="115" spans="1:9" s="2" customFormat="1" ht="18.75">
      <c r="A115" s="19" t="s">
        <v>25</v>
      </c>
      <c r="B115" s="84">
        <v>194.7</v>
      </c>
      <c r="C115" s="63">
        <f>86.7+250</f>
        <v>336.7</v>
      </c>
      <c r="D115" s="83"/>
      <c r="E115" s="6">
        <f>D115/D102*100</f>
        <v>0</v>
      </c>
      <c r="F115" s="6"/>
      <c r="G115" s="6">
        <f t="shared" si="17"/>
        <v>0</v>
      </c>
      <c r="H115" s="6">
        <f t="shared" si="16"/>
        <v>194.7</v>
      </c>
      <c r="I115" s="6">
        <f t="shared" si="14"/>
        <v>336.7</v>
      </c>
    </row>
    <row r="116" spans="1:9" s="2" customFormat="1" ht="21.75" customHeight="1">
      <c r="A116" s="19" t="s">
        <v>45</v>
      </c>
      <c r="B116" s="84">
        <v>82.7</v>
      </c>
      <c r="C116" s="63">
        <v>94.7</v>
      </c>
      <c r="D116" s="87">
        <f>16.2+3.7</f>
        <v>19.9</v>
      </c>
      <c r="E116" s="21">
        <f>D116/D102*100</f>
        <v>0.28129594029175614</v>
      </c>
      <c r="F116" s="6">
        <f t="shared" si="15"/>
        <v>24.062877871825876</v>
      </c>
      <c r="G116" s="6">
        <f t="shared" si="17"/>
        <v>21.013727560718053</v>
      </c>
      <c r="H116" s="6">
        <f t="shared" si="16"/>
        <v>62.800000000000004</v>
      </c>
      <c r="I116" s="6">
        <f t="shared" si="14"/>
        <v>74.80000000000001</v>
      </c>
    </row>
    <row r="117" spans="1:9" s="2" customFormat="1" ht="37.5">
      <c r="A117" s="19" t="s">
        <v>49</v>
      </c>
      <c r="B117" s="84">
        <v>1624.4</v>
      </c>
      <c r="C117" s="63">
        <v>1700.1</v>
      </c>
      <c r="D117" s="87">
        <f>196.6+25+11.8+12.7+6.1+3.1+261.8+113.5+10.8</f>
        <v>641.4</v>
      </c>
      <c r="E117" s="21">
        <f>D117/D102*100</f>
        <v>9.06649327151419</v>
      </c>
      <c r="F117" s="6">
        <f t="shared" si="15"/>
        <v>39.485348436345724</v>
      </c>
      <c r="G117" s="6">
        <f t="shared" si="17"/>
        <v>37.72719251808717</v>
      </c>
      <c r="H117" s="6">
        <f t="shared" si="16"/>
        <v>983.0000000000001</v>
      </c>
      <c r="I117" s="6">
        <f t="shared" si="14"/>
        <v>1058.6999999999998</v>
      </c>
    </row>
    <row r="118" spans="1:9" s="2" customFormat="1" ht="56.25">
      <c r="A118" s="19" t="s">
        <v>56</v>
      </c>
      <c r="B118" s="84">
        <v>131.3</v>
      </c>
      <c r="C118" s="63">
        <f>157.1+1.2</f>
        <v>158.29999999999998</v>
      </c>
      <c r="D118" s="87">
        <f>3.8+0.6</f>
        <v>4.3999999999999995</v>
      </c>
      <c r="E118" s="21">
        <f>D118/D102*100</f>
        <v>0.0621960873006898</v>
      </c>
      <c r="F118" s="6">
        <f t="shared" si="15"/>
        <v>3.3511043412033503</v>
      </c>
      <c r="G118" s="6">
        <f t="shared" si="17"/>
        <v>2.779532533164877</v>
      </c>
      <c r="H118" s="6">
        <f t="shared" si="16"/>
        <v>126.9</v>
      </c>
      <c r="I118" s="6">
        <f t="shared" si="14"/>
        <v>153.89999999999998</v>
      </c>
    </row>
    <row r="119" spans="1:9" s="2" customFormat="1" ht="57" customHeight="1" hidden="1">
      <c r="A119" s="19" t="s">
        <v>73</v>
      </c>
      <c r="B119" s="84"/>
      <c r="C119" s="63"/>
      <c r="D119" s="87"/>
      <c r="E119" s="21">
        <f>D119/D102*100</f>
        <v>0</v>
      </c>
      <c r="F119" s="6" t="e">
        <f t="shared" si="15"/>
        <v>#DIV/0!</v>
      </c>
      <c r="G119" s="6" t="e">
        <f t="shared" si="17"/>
        <v>#DIV/0!</v>
      </c>
      <c r="H119" s="6">
        <f t="shared" si="16"/>
        <v>0</v>
      </c>
      <c r="I119" s="6">
        <f t="shared" si="14"/>
        <v>0</v>
      </c>
    </row>
    <row r="120" spans="1:9" s="2" customFormat="1" ht="18.75">
      <c r="A120" s="19" t="s">
        <v>59</v>
      </c>
      <c r="B120" s="84">
        <v>50</v>
      </c>
      <c r="C120" s="63">
        <v>50</v>
      </c>
      <c r="D120" s="87">
        <f>16.8+4.6+2.6+2.5+4.9+4.9+7.6</f>
        <v>43.9</v>
      </c>
      <c r="E120" s="21">
        <f>D120/D102*100</f>
        <v>0.620547325568246</v>
      </c>
      <c r="F120" s="6">
        <f t="shared" si="15"/>
        <v>87.8</v>
      </c>
      <c r="G120" s="6">
        <f t="shared" si="17"/>
        <v>87.8</v>
      </c>
      <c r="H120" s="6">
        <f t="shared" si="16"/>
        <v>6.100000000000001</v>
      </c>
      <c r="I120" s="6">
        <f t="shared" si="14"/>
        <v>6.100000000000001</v>
      </c>
    </row>
    <row r="121" spans="1:9" s="2" customFormat="1" ht="37.5">
      <c r="A121" s="19" t="s">
        <v>81</v>
      </c>
      <c r="B121" s="84">
        <v>84.7</v>
      </c>
      <c r="C121" s="63">
        <v>84.7</v>
      </c>
      <c r="D121" s="87">
        <f>18.3+9.7</f>
        <v>28</v>
      </c>
      <c r="E121" s="21">
        <f>D121/D102*100</f>
        <v>0.3957932828225714</v>
      </c>
      <c r="F121" s="6">
        <f t="shared" si="15"/>
        <v>33.057851239669425</v>
      </c>
      <c r="G121" s="6">
        <f t="shared" si="17"/>
        <v>33.057851239669425</v>
      </c>
      <c r="H121" s="6">
        <f t="shared" si="16"/>
        <v>56.7</v>
      </c>
      <c r="I121" s="6">
        <f t="shared" si="14"/>
        <v>56.7</v>
      </c>
    </row>
    <row r="122" spans="1:9" s="2" customFormat="1" ht="18.75">
      <c r="A122" s="19" t="s">
        <v>75</v>
      </c>
      <c r="B122" s="84">
        <v>114.8</v>
      </c>
      <c r="C122" s="63">
        <v>178.8</v>
      </c>
      <c r="D122" s="87">
        <f>7.2+1.4+9.3+6.8+7.7+4.3+1.8+6+21.8+13.1+2.5</f>
        <v>81.89999999999999</v>
      </c>
      <c r="E122" s="21">
        <f>D122/D102*100</f>
        <v>1.1576953522560214</v>
      </c>
      <c r="F122" s="6">
        <f t="shared" si="15"/>
        <v>71.34146341463415</v>
      </c>
      <c r="G122" s="6">
        <f t="shared" si="17"/>
        <v>45.80536912751677</v>
      </c>
      <c r="H122" s="6">
        <f t="shared" si="16"/>
        <v>32.900000000000006</v>
      </c>
      <c r="I122" s="6">
        <f t="shared" si="14"/>
        <v>96.90000000000002</v>
      </c>
    </row>
    <row r="123" spans="1:9" s="2" customFormat="1" ht="35.25" customHeight="1">
      <c r="A123" s="19" t="s">
        <v>74</v>
      </c>
      <c r="B123" s="84">
        <v>36.3</v>
      </c>
      <c r="C123" s="63">
        <v>67.6</v>
      </c>
      <c r="D123" s="87">
        <f>0.5+1.5+0.1+14.8</f>
        <v>16.900000000000002</v>
      </c>
      <c r="E123" s="21">
        <f>D123/D102*100</f>
        <v>0.23888951713219495</v>
      </c>
      <c r="F123" s="6">
        <f t="shared" si="15"/>
        <v>46.55647382920111</v>
      </c>
      <c r="G123" s="6">
        <f t="shared" si="17"/>
        <v>25.000000000000007</v>
      </c>
      <c r="H123" s="6">
        <f t="shared" si="16"/>
        <v>19.399999999999995</v>
      </c>
      <c r="I123" s="6">
        <f t="shared" si="14"/>
        <v>50.69999999999999</v>
      </c>
    </row>
    <row r="124" spans="1:9" s="2" customFormat="1" ht="35.25" customHeight="1">
      <c r="A124" s="19" t="s">
        <v>76</v>
      </c>
      <c r="B124" s="84">
        <v>60</v>
      </c>
      <c r="C124" s="63">
        <v>60</v>
      </c>
      <c r="D124" s="87"/>
      <c r="E124" s="21">
        <f>D124/D102*100</f>
        <v>0</v>
      </c>
      <c r="F124" s="6">
        <f t="shared" si="15"/>
        <v>0</v>
      </c>
      <c r="G124" s="6">
        <f t="shared" si="17"/>
        <v>0</v>
      </c>
      <c r="H124" s="6">
        <f t="shared" si="16"/>
        <v>60</v>
      </c>
      <c r="I124" s="6">
        <f t="shared" si="14"/>
        <v>60</v>
      </c>
    </row>
    <row r="125" spans="1:9" s="2" customFormat="1" ht="18.75">
      <c r="A125" s="19" t="s">
        <v>101</v>
      </c>
      <c r="B125" s="84">
        <v>45.4</v>
      </c>
      <c r="C125" s="63">
        <f>115-64.6</f>
        <v>50.400000000000006</v>
      </c>
      <c r="D125" s="87"/>
      <c r="E125" s="21">
        <f>D125/D102*100</f>
        <v>0</v>
      </c>
      <c r="F125" s="6">
        <f t="shared" si="15"/>
        <v>0</v>
      </c>
      <c r="G125" s="6">
        <f>D125/C125*100</f>
        <v>0</v>
      </c>
      <c r="H125" s="6">
        <f t="shared" si="16"/>
        <v>45.4</v>
      </c>
      <c r="I125" s="6">
        <f t="shared" si="14"/>
        <v>50.400000000000006</v>
      </c>
    </row>
    <row r="126" spans="1:9" s="2" customFormat="1" ht="18.75">
      <c r="A126" s="19" t="s">
        <v>32</v>
      </c>
      <c r="B126" s="84">
        <v>510.2</v>
      </c>
      <c r="C126" s="63">
        <v>868.2</v>
      </c>
      <c r="D126" s="87">
        <f>21.4+1.2+34.6+22.6+3.4+31.2+5.1+22.6+3+44.8+0.2+32.7+27.3+30.6+3.7+29.7+4.3+33.6+0.1+0.1+6.3+25.5+0.4+38.4+0.1+0.3+0.6+29.7+0.1+36.6</f>
        <v>490.20000000000016</v>
      </c>
      <c r="E126" s="21">
        <f>D126/D102*100</f>
        <v>6.929209544272307</v>
      </c>
      <c r="F126" s="6">
        <f t="shared" si="15"/>
        <v>96.07996863974915</v>
      </c>
      <c r="G126" s="6">
        <f t="shared" si="17"/>
        <v>56.46164478230824</v>
      </c>
      <c r="H126" s="6">
        <f t="shared" si="16"/>
        <v>19.99999999999983</v>
      </c>
      <c r="I126" s="6">
        <f t="shared" si="14"/>
        <v>377.9999999999999</v>
      </c>
    </row>
    <row r="127" spans="1:9" s="41" customFormat="1" ht="18">
      <c r="A127" s="42" t="s">
        <v>54</v>
      </c>
      <c r="B127" s="85">
        <v>436</v>
      </c>
      <c r="C127" s="54">
        <v>747.1</v>
      </c>
      <c r="D127" s="86">
        <f>21.4+1.2+34.6+22.6+31.2+22.6+44.8+0.2+32.7+30.6+29.7+33.6+24.3+38.4+29.7+36.6</f>
        <v>434.20000000000005</v>
      </c>
      <c r="E127" s="1">
        <f>D127/D126*100</f>
        <v>88.57609139126885</v>
      </c>
      <c r="F127" s="1">
        <f>D127/B127*100</f>
        <v>99.58715596330276</v>
      </c>
      <c r="G127" s="1">
        <f t="shared" si="17"/>
        <v>58.118056485075634</v>
      </c>
      <c r="H127" s="1">
        <f t="shared" si="16"/>
        <v>1.7999999999999545</v>
      </c>
      <c r="I127" s="1">
        <f t="shared" si="14"/>
        <v>312.9</v>
      </c>
    </row>
    <row r="128" spans="1:9" s="41" customFormat="1" ht="18">
      <c r="A128" s="31" t="s">
        <v>33</v>
      </c>
      <c r="B128" s="85">
        <v>15.7</v>
      </c>
      <c r="C128" s="54">
        <v>27.4</v>
      </c>
      <c r="D128" s="86">
        <f>3.4+3+2.7+1.6-0.1+0.1+0.1</f>
        <v>10.8</v>
      </c>
      <c r="E128" s="1">
        <f>D128/D126*100</f>
        <v>2.203182374541003</v>
      </c>
      <c r="F128" s="1">
        <f>D128/B128*100</f>
        <v>68.78980891719746</v>
      </c>
      <c r="G128" s="1">
        <f>D128/C128*100</f>
        <v>39.41605839416059</v>
      </c>
      <c r="H128" s="1">
        <f t="shared" si="16"/>
        <v>4.899999999999999</v>
      </c>
      <c r="I128" s="1">
        <f t="shared" si="14"/>
        <v>16.599999999999998</v>
      </c>
    </row>
    <row r="129" spans="1:9" s="2" customFormat="1" ht="18.75">
      <c r="A129" s="19" t="s">
        <v>27</v>
      </c>
      <c r="B129" s="84">
        <v>4188</v>
      </c>
      <c r="C129" s="63">
        <v>8376</v>
      </c>
      <c r="D129" s="87">
        <f>1513.1+580.9+2094</f>
        <v>4188</v>
      </c>
      <c r="E129" s="21">
        <f>D129/D102*100</f>
        <v>59.199366730747485</v>
      </c>
      <c r="F129" s="6">
        <f t="shared" si="15"/>
        <v>100</v>
      </c>
      <c r="G129" s="6">
        <f t="shared" si="17"/>
        <v>50</v>
      </c>
      <c r="H129" s="6">
        <f t="shared" si="16"/>
        <v>0</v>
      </c>
      <c r="I129" s="6">
        <f t="shared" si="14"/>
        <v>4188</v>
      </c>
    </row>
    <row r="130" spans="1:12" s="2" customFormat="1" ht="18.75" customHeight="1">
      <c r="A130" s="19" t="s">
        <v>105</v>
      </c>
      <c r="B130" s="84">
        <v>475.8</v>
      </c>
      <c r="C130" s="63">
        <v>475.8</v>
      </c>
      <c r="D130" s="87">
        <f>90+165.6+35+30+20+35.1</f>
        <v>375.70000000000005</v>
      </c>
      <c r="E130" s="21">
        <f>D130/D102*100</f>
        <v>5.310697727015719</v>
      </c>
      <c r="F130" s="119">
        <f>D130/B130*100</f>
        <v>78.9617486338798</v>
      </c>
      <c r="G130" s="6">
        <f t="shared" si="17"/>
        <v>78.9617486338798</v>
      </c>
      <c r="H130" s="6">
        <f t="shared" si="16"/>
        <v>100.09999999999997</v>
      </c>
      <c r="I130" s="6">
        <f t="shared" si="14"/>
        <v>100.09999999999997</v>
      </c>
      <c r="K130" s="48"/>
      <c r="L130" s="48"/>
    </row>
    <row r="131" spans="1:12" s="2" customFormat="1" ht="19.5" customHeight="1" hidden="1">
      <c r="A131" s="19" t="s">
        <v>67</v>
      </c>
      <c r="B131" s="84">
        <v>0</v>
      </c>
      <c r="C131" s="63">
        <v>0</v>
      </c>
      <c r="D131" s="87"/>
      <c r="E131" s="21">
        <f>D131/D102*100</f>
        <v>0</v>
      </c>
      <c r="F131" s="6"/>
      <c r="G131" s="6" t="e">
        <f t="shared" si="17"/>
        <v>#DIV/0!</v>
      </c>
      <c r="H131" s="6">
        <f t="shared" si="16"/>
        <v>0</v>
      </c>
      <c r="I131" s="6">
        <f t="shared" si="14"/>
        <v>0</v>
      </c>
      <c r="K131" s="107"/>
      <c r="L131" s="48"/>
    </row>
    <row r="132" spans="1:12" s="2" customFormat="1" ht="18.75" hidden="1">
      <c r="A132" s="19" t="s">
        <v>62</v>
      </c>
      <c r="B132" s="84"/>
      <c r="C132" s="63"/>
      <c r="D132" s="87"/>
      <c r="E132" s="21">
        <f>D132/D102*100</f>
        <v>0</v>
      </c>
      <c r="F132" s="6" t="e">
        <f t="shared" si="15"/>
        <v>#DIV/0!</v>
      </c>
      <c r="G132" s="6" t="e">
        <f t="shared" si="17"/>
        <v>#DIV/0!</v>
      </c>
      <c r="H132" s="6">
        <f t="shared" si="16"/>
        <v>0</v>
      </c>
      <c r="I132" s="6">
        <f t="shared" si="14"/>
        <v>0</v>
      </c>
      <c r="K132" s="48"/>
      <c r="L132" s="48"/>
    </row>
    <row r="133" spans="1:12" s="2" customFormat="1" ht="19.5" thickBot="1">
      <c r="A133" s="43" t="s">
        <v>37</v>
      </c>
      <c r="B133" s="88">
        <f>B41+B66+B69+B74+B76+B84+B98+B102+B96+B81+B94</f>
        <v>14971.999999999998</v>
      </c>
      <c r="C133" s="88">
        <f>C41+C66+C69+C74+C76+C84+C98+C102+C96+C81+C94</f>
        <v>25001.600000000002</v>
      </c>
      <c r="D133" s="63">
        <f>D41+D66+D69+D74+D76+D84+D98+D102+D96+D81+D94</f>
        <v>10725.300000000001</v>
      </c>
      <c r="E133" s="21"/>
      <c r="F133" s="21"/>
      <c r="G133" s="6"/>
      <c r="H133" s="6"/>
      <c r="I133" s="22"/>
      <c r="K133" s="48"/>
      <c r="L133" s="48"/>
    </row>
    <row r="134" spans="1:12" ht="19.5" thickBot="1">
      <c r="A134" s="15" t="s">
        <v>19</v>
      </c>
      <c r="B134" s="57">
        <f>B6+B17+B31+B41+B49+B56+B66+B69+B74+B76+B84+B87+B92+B98+B102+B96+B81+B94+B43</f>
        <v>405661</v>
      </c>
      <c r="C134" s="57">
        <f>C6+C17+C31+C41+C49+C56+C66+C69+C74+C76+C84+C87+C92+C98+C102+C96+C81+C94+C43</f>
        <v>624159.9</v>
      </c>
      <c r="D134" s="57">
        <f>D6+D17+D31+D41+D49+D56+D66+D69+D74+D76+D84+D87+D92+D98+D102+D96+D81+D94+D43</f>
        <v>374610.3000000001</v>
      </c>
      <c r="E134" s="40">
        <v>100</v>
      </c>
      <c r="F134" s="3">
        <f>D134/B134*100</f>
        <v>92.34565314388125</v>
      </c>
      <c r="G134" s="3">
        <f aca="true" t="shared" si="18" ref="G134:G140">D134/C134*100</f>
        <v>60.018322228006014</v>
      </c>
      <c r="H134" s="3">
        <f aca="true" t="shared" si="19" ref="H134:H140">B134-D134</f>
        <v>31050.699999999895</v>
      </c>
      <c r="I134" s="3">
        <f aca="true" t="shared" si="20" ref="I134:I140">C134-D134</f>
        <v>249549.59999999992</v>
      </c>
      <c r="K134" s="49"/>
      <c r="L134" s="50"/>
    </row>
    <row r="135" spans="1:12" ht="18.75">
      <c r="A135" s="25" t="s">
        <v>5</v>
      </c>
      <c r="B135" s="70">
        <f>B7+B18+B32+B50+B57+B88+B110+B114+B44+B127</f>
        <v>288462.7</v>
      </c>
      <c r="C135" s="70">
        <f>C7+C18+C32+C50+C57+C88+C110+C114+C44+C127</f>
        <v>430257.9</v>
      </c>
      <c r="D135" s="70">
        <f>D7+D18+D32+D50+D57+D88+D110+D114+D44+D127</f>
        <v>279057.89999999997</v>
      </c>
      <c r="E135" s="6">
        <f>D135/D134*100</f>
        <v>74.4928529728093</v>
      </c>
      <c r="F135" s="6">
        <f aca="true" t="shared" si="21" ref="F135:F146">D135/B135*100</f>
        <v>96.73968246154527</v>
      </c>
      <c r="G135" s="6">
        <f t="shared" si="18"/>
        <v>64.8582861581391</v>
      </c>
      <c r="H135" s="6">
        <f t="shared" si="19"/>
        <v>9404.800000000047</v>
      </c>
      <c r="I135" s="20">
        <f t="shared" si="20"/>
        <v>151200.00000000006</v>
      </c>
      <c r="K135" s="49"/>
      <c r="L135" s="50"/>
    </row>
    <row r="136" spans="1:12" ht="18.75">
      <c r="A136" s="25" t="s">
        <v>0</v>
      </c>
      <c r="B136" s="71">
        <f>B10+B21+B34+B53+B59+B89+B47+B128+B104+B107</f>
        <v>35363.19999999999</v>
      </c>
      <c r="C136" s="71">
        <f>C10+C21+C34+C53+C59+C89+C47+C128+C104+C107</f>
        <v>64923.7</v>
      </c>
      <c r="D136" s="71">
        <f>D10+D21+D34+D53+D59+D89+D47+D128+D104+D107</f>
        <v>33364.50000000001</v>
      </c>
      <c r="E136" s="6">
        <f>D136/D134*100</f>
        <v>8.906455588647724</v>
      </c>
      <c r="F136" s="6">
        <f t="shared" si="21"/>
        <v>94.34807935933405</v>
      </c>
      <c r="G136" s="6">
        <f t="shared" si="18"/>
        <v>51.39032433456505</v>
      </c>
      <c r="H136" s="6">
        <f t="shared" si="19"/>
        <v>1998.6999999999825</v>
      </c>
      <c r="I136" s="20">
        <f t="shared" si="20"/>
        <v>31559.19999999999</v>
      </c>
      <c r="K136" s="49"/>
      <c r="L136" s="106"/>
    </row>
    <row r="137" spans="1:12" ht="18.75">
      <c r="A137" s="25" t="s">
        <v>1</v>
      </c>
      <c r="B137" s="70">
        <f>B20+B9+B52+B46+B58+B33+B99</f>
        <v>12090.2</v>
      </c>
      <c r="C137" s="70">
        <f>C20+C9+C52+C46+C58+C33+C99</f>
        <v>20504.5</v>
      </c>
      <c r="D137" s="70">
        <f>D20+D9+D52+D46+D58+D33+D99</f>
        <v>11271.700000000003</v>
      </c>
      <c r="E137" s="6">
        <f>D137/D134*100</f>
        <v>3.008913529606634</v>
      </c>
      <c r="F137" s="6">
        <f t="shared" si="21"/>
        <v>93.23005409339797</v>
      </c>
      <c r="G137" s="6">
        <f t="shared" si="18"/>
        <v>54.971835450754725</v>
      </c>
      <c r="H137" s="6">
        <f t="shared" si="19"/>
        <v>818.4999999999982</v>
      </c>
      <c r="I137" s="20">
        <f t="shared" si="20"/>
        <v>9232.799999999997</v>
      </c>
      <c r="K137" s="49"/>
      <c r="L137" s="50"/>
    </row>
    <row r="138" spans="1:12" ht="21" customHeight="1">
      <c r="A138" s="25" t="s">
        <v>15</v>
      </c>
      <c r="B138" s="70">
        <f>B11+B22+B100+B60+B36+B90</f>
        <v>5429</v>
      </c>
      <c r="C138" s="70">
        <f>C11+C22+C100+C60+C36+C90</f>
        <v>8036.500000000001</v>
      </c>
      <c r="D138" s="70">
        <f>D11+D22+D100+D60+D36+D90</f>
        <v>4619.9</v>
      </c>
      <c r="E138" s="6">
        <f>D138/D134*100</f>
        <v>1.2332549318585204</v>
      </c>
      <c r="F138" s="6">
        <f t="shared" si="21"/>
        <v>85.09670289187696</v>
      </c>
      <c r="G138" s="6">
        <f t="shared" si="18"/>
        <v>57.486467989796544</v>
      </c>
      <c r="H138" s="6">
        <f t="shared" si="19"/>
        <v>809.1000000000004</v>
      </c>
      <c r="I138" s="20">
        <f t="shared" si="20"/>
        <v>3416.6000000000013</v>
      </c>
      <c r="K138" s="49"/>
      <c r="L138" s="106"/>
    </row>
    <row r="139" spans="1:12" ht="18.75">
      <c r="A139" s="25" t="s">
        <v>2</v>
      </c>
      <c r="B139" s="70">
        <f>B8+B19+B45+B51</f>
        <v>4628.7</v>
      </c>
      <c r="C139" s="70">
        <f>C8+C19+C45+C51</f>
        <v>7873.900000000001</v>
      </c>
      <c r="D139" s="70">
        <f>D8+D19+D45+D51</f>
        <v>2423.0999999999995</v>
      </c>
      <c r="E139" s="6">
        <f>D139/D134*100</f>
        <v>0.6468321880097794</v>
      </c>
      <c r="F139" s="6">
        <f t="shared" si="21"/>
        <v>52.3494717739322</v>
      </c>
      <c r="G139" s="6">
        <f t="shared" si="18"/>
        <v>30.773822375188907</v>
      </c>
      <c r="H139" s="6">
        <f t="shared" si="19"/>
        <v>2205.6000000000004</v>
      </c>
      <c r="I139" s="20">
        <f t="shared" si="20"/>
        <v>5450.800000000001</v>
      </c>
      <c r="K139" s="49"/>
      <c r="L139" s="50"/>
    </row>
    <row r="140" spans="1:12" ht="19.5" thickBot="1">
      <c r="A140" s="25" t="s">
        <v>35</v>
      </c>
      <c r="B140" s="70">
        <f>B134-B135-B136-B137-B138-B139</f>
        <v>59687.20000000001</v>
      </c>
      <c r="C140" s="70">
        <f>C134-C135-C136-C137-C138-C139</f>
        <v>92563.40000000001</v>
      </c>
      <c r="D140" s="70">
        <f>D134-D135-D136-D137-D138-D139</f>
        <v>43873.20000000013</v>
      </c>
      <c r="E140" s="6">
        <f>D140/D134*100</f>
        <v>11.71169078906803</v>
      </c>
      <c r="F140" s="6">
        <f t="shared" si="21"/>
        <v>73.50520714659109</v>
      </c>
      <c r="G140" s="46">
        <f t="shared" si="18"/>
        <v>47.39799964132705</v>
      </c>
      <c r="H140" s="6">
        <f t="shared" si="19"/>
        <v>15813.999999999884</v>
      </c>
      <c r="I140" s="6">
        <f t="shared" si="20"/>
        <v>48690.19999999988</v>
      </c>
      <c r="K140" s="49"/>
      <c r="L140" s="106"/>
    </row>
    <row r="141" spans="1:12" ht="5.25" customHeight="1" thickBot="1">
      <c r="A141" s="37"/>
      <c r="B141" s="89"/>
      <c r="C141" s="90"/>
      <c r="D141" s="90"/>
      <c r="E141" s="23"/>
      <c r="F141" s="23"/>
      <c r="G141" s="23"/>
      <c r="H141" s="23"/>
      <c r="I141" s="24"/>
      <c r="K141" s="49"/>
      <c r="L141" s="49"/>
    </row>
    <row r="142" spans="1:12" ht="18.75">
      <c r="A142" s="34" t="s">
        <v>21</v>
      </c>
      <c r="B142" s="91">
        <f>41380.7+70.1-12-9.1</f>
        <v>41429.7</v>
      </c>
      <c r="C142" s="77">
        <v>77971.6</v>
      </c>
      <c r="D142" s="77">
        <f>1285.7+343.1+251.2+535+4+1250.9+3+47.1-1+182.9+10.6+2492.6+31+22.3+70.1+288.5+61.4+28+67+8.2+59.1+10.4</f>
        <v>7051.1</v>
      </c>
      <c r="E142" s="16"/>
      <c r="F142" s="6">
        <f t="shared" si="21"/>
        <v>17.01943291889635</v>
      </c>
      <c r="G142" s="6">
        <f aca="true" t="shared" si="22" ref="G142:G151">D142/C142*100</f>
        <v>9.0431644342299</v>
      </c>
      <c r="H142" s="6">
        <f>B142-D142</f>
        <v>34378.6</v>
      </c>
      <c r="I142" s="6">
        <f aca="true" t="shared" si="23" ref="I142:I151">C142-D142</f>
        <v>70920.5</v>
      </c>
      <c r="J142" s="109"/>
      <c r="K142" s="49"/>
      <c r="L142" s="49"/>
    </row>
    <row r="143" spans="1:12" ht="18.75">
      <c r="A143" s="25" t="s">
        <v>22</v>
      </c>
      <c r="B143" s="92">
        <f>17477.2+12</f>
        <v>17489.2</v>
      </c>
      <c r="C143" s="70">
        <f>23644.2-130</f>
        <v>23514.2</v>
      </c>
      <c r="D143" s="70">
        <f>2921.3+155.4+1707.9+56.8+14.6+990.8-990.8+14.7+990.8+400.1+597.2+8.8</f>
        <v>6867.600000000001</v>
      </c>
      <c r="E143" s="6"/>
      <c r="F143" s="6">
        <f t="shared" si="21"/>
        <v>39.26766232875146</v>
      </c>
      <c r="G143" s="6">
        <f t="shared" si="22"/>
        <v>29.20618179653146</v>
      </c>
      <c r="H143" s="6">
        <f aca="true" t="shared" si="24" ref="H143:H150">B143-D143</f>
        <v>10621.599999999999</v>
      </c>
      <c r="I143" s="6">
        <f t="shared" si="23"/>
        <v>16646.6</v>
      </c>
      <c r="K143" s="49"/>
      <c r="L143" s="49"/>
    </row>
    <row r="144" spans="1:12" ht="18.75">
      <c r="A144" s="25" t="s">
        <v>63</v>
      </c>
      <c r="B144" s="92">
        <f>50429.4-70.1+9.1</f>
        <v>50368.4</v>
      </c>
      <c r="C144" s="70">
        <f>109130.7-6200+130</f>
        <v>103060.7</v>
      </c>
      <c r="D144" s="70">
        <f>12373.9+5.2+226.7+32.3+504.2+352+56.1+74.8+164.6+110.4+53.4+5</f>
        <v>13958.6</v>
      </c>
      <c r="E144" s="6"/>
      <c r="F144" s="6">
        <f t="shared" si="21"/>
        <v>27.713010538353412</v>
      </c>
      <c r="G144" s="6">
        <f t="shared" si="22"/>
        <v>13.544057045993284</v>
      </c>
      <c r="H144" s="6">
        <f t="shared" si="24"/>
        <v>36409.8</v>
      </c>
      <c r="I144" s="6">
        <f t="shared" si="23"/>
        <v>89102.09999999999</v>
      </c>
      <c r="K144" s="49"/>
      <c r="L144" s="49"/>
    </row>
    <row r="145" spans="1:12" ht="37.5">
      <c r="A145" s="25" t="s">
        <v>72</v>
      </c>
      <c r="B145" s="92">
        <v>6200</v>
      </c>
      <c r="C145" s="70">
        <v>6200</v>
      </c>
      <c r="D145" s="70">
        <f>5500+500</f>
        <v>6000</v>
      </c>
      <c r="E145" s="6"/>
      <c r="F145" s="6">
        <f t="shared" si="21"/>
        <v>96.7741935483871</v>
      </c>
      <c r="G145" s="6">
        <f t="shared" si="22"/>
        <v>96.7741935483871</v>
      </c>
      <c r="H145" s="6">
        <f t="shared" si="24"/>
        <v>200</v>
      </c>
      <c r="I145" s="6">
        <f t="shared" si="23"/>
        <v>200</v>
      </c>
      <c r="K145" s="49"/>
      <c r="L145" s="49"/>
    </row>
    <row r="146" spans="1:12" ht="18.75">
      <c r="A146" s="25" t="s">
        <v>13</v>
      </c>
      <c r="B146" s="92">
        <v>12711.9</v>
      </c>
      <c r="C146" s="70">
        <f>8750.7+10716.7</f>
        <v>19467.4</v>
      </c>
      <c r="D146" s="70">
        <f>1079.6+99+23+18.9+98+142.5+46.8+99.4+162.7+67+248.3+33.5+121.9+230+22.3+285.4+115.2+35.8+49.4+183.7+191.3</f>
        <v>3353.7000000000007</v>
      </c>
      <c r="E146" s="21"/>
      <c r="F146" s="6">
        <f t="shared" si="21"/>
        <v>26.382366129374844</v>
      </c>
      <c r="G146" s="6">
        <f t="shared" si="22"/>
        <v>17.227261986705983</v>
      </c>
      <c r="H146" s="6">
        <f t="shared" si="24"/>
        <v>9358.199999999999</v>
      </c>
      <c r="I146" s="6">
        <f t="shared" si="23"/>
        <v>16113.7</v>
      </c>
      <c r="K146" s="49"/>
      <c r="L146" s="49"/>
    </row>
    <row r="147" spans="1:12" ht="18.75" hidden="1">
      <c r="A147" s="25" t="s">
        <v>26</v>
      </c>
      <c r="B147" s="92"/>
      <c r="C147" s="70"/>
      <c r="D147" s="70"/>
      <c r="E147" s="21"/>
      <c r="F147" s="6" t="e">
        <f>D147/B147*100</f>
        <v>#DIV/0!</v>
      </c>
      <c r="G147" s="6" t="e">
        <f t="shared" si="22"/>
        <v>#DIV/0!</v>
      </c>
      <c r="H147" s="6">
        <f t="shared" si="24"/>
        <v>0</v>
      </c>
      <c r="I147" s="6">
        <f t="shared" si="23"/>
        <v>0</v>
      </c>
      <c r="K147" s="49"/>
      <c r="L147" s="49"/>
    </row>
    <row r="148" spans="1:9" ht="18.75">
      <c r="A148" s="25" t="s">
        <v>53</v>
      </c>
      <c r="B148" s="92">
        <v>724.1</v>
      </c>
      <c r="C148" s="70">
        <f>790+361.2</f>
        <v>1151.2</v>
      </c>
      <c r="D148" s="70">
        <f>371+201.4+67.1</f>
        <v>639.5</v>
      </c>
      <c r="E148" s="21"/>
      <c r="F148" s="6">
        <f>D148/B148*100</f>
        <v>88.3165308659025</v>
      </c>
      <c r="G148" s="6">
        <f t="shared" si="22"/>
        <v>55.55072967338429</v>
      </c>
      <c r="H148" s="6">
        <f t="shared" si="24"/>
        <v>84.60000000000002</v>
      </c>
      <c r="I148" s="6">
        <f t="shared" si="23"/>
        <v>511.70000000000005</v>
      </c>
    </row>
    <row r="149" spans="1:9" ht="19.5" customHeight="1">
      <c r="A149" s="25" t="s">
        <v>70</v>
      </c>
      <c r="B149" s="92">
        <v>1678.3</v>
      </c>
      <c r="C149" s="70">
        <v>1945.7</v>
      </c>
      <c r="D149" s="70">
        <f>1118.3</f>
        <v>1118.3</v>
      </c>
      <c r="E149" s="21"/>
      <c r="F149" s="6">
        <f>D149/B149*100</f>
        <v>66.63290234165524</v>
      </c>
      <c r="G149" s="6">
        <f t="shared" si="22"/>
        <v>57.47545870380839</v>
      </c>
      <c r="H149" s="6">
        <f t="shared" si="24"/>
        <v>560</v>
      </c>
      <c r="I149" s="6">
        <f t="shared" si="23"/>
        <v>827.4000000000001</v>
      </c>
    </row>
    <row r="150" spans="1:9" ht="19.5" thickBot="1">
      <c r="A150" s="25" t="s">
        <v>64</v>
      </c>
      <c r="B150" s="92">
        <v>6757.8</v>
      </c>
      <c r="C150" s="93">
        <f>3939.6+4926.7</f>
        <v>8866.3</v>
      </c>
      <c r="D150" s="93">
        <f>95.1+9.9+65+49.9+275.1+44.8+19.5+19.1+33.5+61.7+72.9+34.3+99.3+27.3+72.8</f>
        <v>980.1999999999998</v>
      </c>
      <c r="E150" s="26"/>
      <c r="F150" s="6">
        <f>D150/B150*100</f>
        <v>14.50472047115925</v>
      </c>
      <c r="G150" s="6">
        <f t="shared" si="22"/>
        <v>11.055344393941102</v>
      </c>
      <c r="H150" s="6">
        <f t="shared" si="24"/>
        <v>5777.6</v>
      </c>
      <c r="I150" s="6">
        <f t="shared" si="23"/>
        <v>7886.099999999999</v>
      </c>
    </row>
    <row r="151" spans="1:9" ht="19.5" thickBot="1">
      <c r="A151" s="15" t="s">
        <v>20</v>
      </c>
      <c r="B151" s="94">
        <f>B134+B142+B146+B147+B143+B150+B149+B144+B148+B145</f>
        <v>543020.4</v>
      </c>
      <c r="C151" s="94">
        <f>C134+C142+C146+C147+C143+C150+C149+C144+C148+C145</f>
        <v>866336.9999999999</v>
      </c>
      <c r="D151" s="94">
        <f>D134+D142+D146+D147+D143+D150+D149+D144+D148+D145</f>
        <v>414579.30000000005</v>
      </c>
      <c r="E151" s="27"/>
      <c r="F151" s="3">
        <f>D151/B151*100</f>
        <v>76.34691072379601</v>
      </c>
      <c r="G151" s="3">
        <f t="shared" si="22"/>
        <v>47.854276107334684</v>
      </c>
      <c r="H151" s="3">
        <f>B151-D151</f>
        <v>128441.09999999998</v>
      </c>
      <c r="I151" s="3">
        <f t="shared" si="23"/>
        <v>451757.69999999984</v>
      </c>
    </row>
    <row r="152" spans="7:8" ht="12.75">
      <c r="G152" s="28"/>
      <c r="H152" s="28"/>
    </row>
    <row r="153" spans="7:9" ht="12.75">
      <c r="G153" s="28"/>
      <c r="H153" s="28"/>
      <c r="I153" s="28"/>
    </row>
    <row r="154" spans="7:8" ht="12.75">
      <c r="G154" s="28"/>
      <c r="H154" s="28"/>
    </row>
    <row r="155" spans="7:8" ht="12.75">
      <c r="G155" s="28"/>
      <c r="H155" s="28"/>
    </row>
    <row r="156" spans="7:8" ht="12.75">
      <c r="G156" s="28"/>
      <c r="H156" s="28"/>
    </row>
    <row r="157" spans="7:8" ht="12.75">
      <c r="G157" s="28"/>
      <c r="H157" s="28"/>
    </row>
    <row r="158" spans="7:8" ht="12.75">
      <c r="G158" s="28"/>
      <c r="H158" s="28"/>
    </row>
    <row r="159" spans="7:8" ht="12.75">
      <c r="G159" s="28"/>
      <c r="H159" s="28"/>
    </row>
    <row r="160" spans="7:8" ht="12.75">
      <c r="G160" s="28"/>
      <c r="H160" s="28"/>
    </row>
    <row r="161" spans="7:8" ht="12.75">
      <c r="G161" s="28"/>
      <c r="H161" s="28"/>
    </row>
    <row r="162" spans="7:8" ht="12.75">
      <c r="G162" s="28"/>
      <c r="H162" s="28"/>
    </row>
    <row r="163" spans="7:8" ht="12.75">
      <c r="G163" s="28"/>
      <c r="H163" s="28"/>
    </row>
    <row r="164" spans="7:8" ht="12.75">
      <c r="G164" s="28"/>
      <c r="H164" s="28"/>
    </row>
    <row r="165" spans="7:8" ht="12.75">
      <c r="G165" s="28"/>
      <c r="H165" s="28"/>
    </row>
    <row r="166" spans="7:8" ht="12.75">
      <c r="G166" s="28"/>
      <c r="H166" s="28"/>
    </row>
    <row r="167" spans="7:8" ht="12.75">
      <c r="G167" s="28"/>
      <c r="H167" s="28"/>
    </row>
    <row r="168" spans="7:8" ht="12.75">
      <c r="G168" s="28"/>
      <c r="H168" s="28"/>
    </row>
    <row r="169" spans="7:8" ht="12.75">
      <c r="G169" s="28"/>
      <c r="H169" s="28"/>
    </row>
    <row r="170" spans="7:8" ht="12.75">
      <c r="G170" s="28"/>
      <c r="H170" s="28"/>
    </row>
    <row r="171" spans="7:8" ht="12.75">
      <c r="G171" s="28"/>
      <c r="H171" s="28"/>
    </row>
    <row r="172" spans="7:8" ht="12.75">
      <c r="G172" s="28"/>
      <c r="H172" s="28"/>
    </row>
    <row r="173" spans="7:8" ht="12.75">
      <c r="G173" s="28"/>
      <c r="H173" s="28"/>
    </row>
    <row r="174" spans="7:8" ht="12.75">
      <c r="G174" s="28"/>
      <c r="H174" s="28"/>
    </row>
    <row r="175" spans="7:8" ht="12.75">
      <c r="G175" s="28"/>
      <c r="H175" s="28"/>
    </row>
    <row r="176" spans="7:8" ht="12.75">
      <c r="G176" s="28"/>
      <c r="H176" s="28"/>
    </row>
    <row r="177" spans="7:8" ht="12.75">
      <c r="G177" s="28"/>
      <c r="H177" s="28"/>
    </row>
    <row r="178" spans="7:8" ht="12.75">
      <c r="G178" s="28"/>
      <c r="H178" s="28"/>
    </row>
    <row r="179" spans="7:8" ht="12.75">
      <c r="G179" s="28"/>
      <c r="H179" s="28"/>
    </row>
    <row r="180" spans="7:8" ht="12.75">
      <c r="G180" s="28"/>
      <c r="H180" s="28"/>
    </row>
    <row r="181" spans="7:8" ht="12.75">
      <c r="G181" s="28"/>
      <c r="H181" s="28"/>
    </row>
    <row r="182" spans="7:8" ht="12.75">
      <c r="G182" s="28"/>
      <c r="H182" s="28"/>
    </row>
    <row r="183" spans="7:8" ht="12.75">
      <c r="G183" s="28"/>
      <c r="H183" s="28"/>
    </row>
    <row r="184" spans="7:8" ht="12.75">
      <c r="G184" s="28"/>
      <c r="H184" s="28"/>
    </row>
    <row r="185" spans="7:8" ht="12.75">
      <c r="G185" s="28"/>
      <c r="H185" s="28"/>
    </row>
    <row r="186" spans="7:8" ht="12.75">
      <c r="G186" s="28"/>
      <c r="H186" s="28"/>
    </row>
    <row r="187" spans="7:8" ht="12.75">
      <c r="G187" s="28"/>
      <c r="H187" s="28"/>
    </row>
    <row r="188" spans="7:8" ht="12.75">
      <c r="G188" s="28"/>
      <c r="H188" s="28"/>
    </row>
    <row r="189" spans="7:8" ht="12.75">
      <c r="G189" s="28"/>
      <c r="H189" s="28"/>
    </row>
    <row r="190" spans="7:8" ht="12.75">
      <c r="G190" s="28"/>
      <c r="H190" s="28"/>
    </row>
    <row r="191" spans="7:8" ht="12.75">
      <c r="G191" s="28"/>
      <c r="H191" s="28"/>
    </row>
    <row r="192" spans="7:8" ht="12.75">
      <c r="G192" s="28"/>
      <c r="H192" s="28"/>
    </row>
    <row r="193" spans="7:8" ht="12.75">
      <c r="G193" s="28"/>
      <c r="H193" s="28"/>
    </row>
    <row r="194" spans="7:8" ht="12.75">
      <c r="G194" s="28"/>
      <c r="H194" s="28"/>
    </row>
    <row r="195" spans="7:8" ht="12.75">
      <c r="G195" s="28"/>
      <c r="H195" s="28"/>
    </row>
    <row r="196" spans="7:8" ht="12.75">
      <c r="G196" s="28"/>
      <c r="H196" s="28"/>
    </row>
    <row r="197" spans="7:8" ht="12.75">
      <c r="G197" s="28"/>
      <c r="H197" s="28"/>
    </row>
    <row r="198" spans="7:8" ht="12.75">
      <c r="G198" s="28"/>
      <c r="H198" s="28"/>
    </row>
    <row r="199" spans="7:8" ht="12.75">
      <c r="G199" s="28"/>
      <c r="H199" s="28"/>
    </row>
    <row r="200" spans="7:8" ht="12.75">
      <c r="G200" s="28"/>
      <c r="H200" s="28"/>
    </row>
    <row r="201" spans="7:8" ht="12.75">
      <c r="G201" s="28"/>
      <c r="H201" s="28"/>
    </row>
    <row r="202" spans="7:8" ht="12.75">
      <c r="G202" s="28"/>
      <c r="H202" s="28"/>
    </row>
    <row r="203" spans="7:8" ht="12.75">
      <c r="G203" s="28"/>
      <c r="H203" s="28"/>
    </row>
    <row r="204" spans="7:8" ht="12.75">
      <c r="G204" s="28"/>
      <c r="H204" s="28"/>
    </row>
    <row r="205" spans="7:8" ht="12.75">
      <c r="G205" s="28"/>
      <c r="H205" s="28"/>
    </row>
    <row r="206" spans="7:8" ht="12.75">
      <c r="G206" s="28"/>
      <c r="H206" s="28"/>
    </row>
    <row r="207" spans="7:8" ht="12.75">
      <c r="G207" s="28"/>
      <c r="H207" s="28"/>
    </row>
    <row r="208" spans="7:8" ht="12.75">
      <c r="G208" s="28"/>
      <c r="H208" s="28"/>
    </row>
    <row r="209" spans="7:8" ht="12.75">
      <c r="G209" s="28"/>
      <c r="H209" s="28"/>
    </row>
    <row r="210" spans="7:8" ht="12.75">
      <c r="G210" s="28"/>
      <c r="H210" s="28"/>
    </row>
    <row r="211" spans="7:8" ht="12.75">
      <c r="G211" s="28"/>
      <c r="H211" s="28"/>
    </row>
    <row r="212" spans="7:8" ht="12.75">
      <c r="G212" s="28"/>
      <c r="H212" s="28"/>
    </row>
    <row r="213" spans="7:8" ht="12.75">
      <c r="G213" s="28"/>
      <c r="H213" s="28"/>
    </row>
    <row r="214" spans="7:8" ht="12.75">
      <c r="G214" s="28"/>
      <c r="H214" s="28"/>
    </row>
    <row r="215" spans="7:8" ht="12.75">
      <c r="G215" s="28"/>
      <c r="H215" s="28"/>
    </row>
    <row r="216" spans="7:8" ht="12.75">
      <c r="G216" s="28"/>
      <c r="H216" s="28"/>
    </row>
    <row r="217" spans="7:8" ht="12.75">
      <c r="G217" s="28"/>
      <c r="H217" s="28"/>
    </row>
    <row r="218" spans="7:8" ht="12.75">
      <c r="G218" s="28"/>
      <c r="H218" s="28"/>
    </row>
    <row r="219" spans="7:8" ht="12.75">
      <c r="G219" s="28"/>
      <c r="H219" s="28"/>
    </row>
    <row r="220" spans="7:8" ht="12.75">
      <c r="G220" s="28"/>
      <c r="H220" s="28"/>
    </row>
    <row r="221" spans="7:8" ht="12.75">
      <c r="G221" s="28"/>
      <c r="H221" s="28"/>
    </row>
    <row r="222" spans="7:8" ht="12.75">
      <c r="G222" s="28"/>
      <c r="H222" s="28"/>
    </row>
    <row r="223" spans="7:8" ht="12.75">
      <c r="G223" s="28"/>
      <c r="H223" s="28"/>
    </row>
    <row r="224" spans="7:8" ht="12.75">
      <c r="G224" s="28"/>
      <c r="H224" s="28"/>
    </row>
    <row r="225" spans="7:8" ht="12.75">
      <c r="G225" s="28"/>
      <c r="H225" s="28"/>
    </row>
    <row r="226" spans="7:8" ht="12.75">
      <c r="G226" s="28"/>
      <c r="H226" s="28"/>
    </row>
    <row r="227" spans="7:8" ht="12.75">
      <c r="G227" s="28"/>
      <c r="H227" s="28"/>
    </row>
    <row r="228" spans="7:8" ht="12.75">
      <c r="G228" s="28"/>
      <c r="H228" s="28"/>
    </row>
    <row r="229" spans="7:8" ht="12.75">
      <c r="G229" s="28"/>
      <c r="H229" s="28"/>
    </row>
    <row r="230" spans="7:8" ht="12.75">
      <c r="G230" s="28"/>
      <c r="H230" s="28"/>
    </row>
    <row r="231" spans="7:8" ht="12.75">
      <c r="G231" s="28"/>
      <c r="H231" s="28"/>
    </row>
    <row r="232" spans="7:8" ht="12.75">
      <c r="G232" s="28"/>
      <c r="H232" s="28"/>
    </row>
    <row r="233" spans="7:8" ht="12.75">
      <c r="G233" s="28"/>
      <c r="H233" s="28"/>
    </row>
    <row r="234" spans="7:8" ht="12.75">
      <c r="G234" s="28"/>
      <c r="H234" s="28"/>
    </row>
    <row r="235" spans="7:8" ht="12.75">
      <c r="G235" s="28"/>
      <c r="H235" s="28"/>
    </row>
    <row r="236" spans="7:8" ht="12.75">
      <c r="G236" s="28"/>
      <c r="H236" s="28"/>
    </row>
    <row r="237" spans="7:8" ht="12.75">
      <c r="G237" s="28"/>
      <c r="H237" s="28"/>
    </row>
    <row r="238" spans="7:8" ht="12.75">
      <c r="G238" s="28"/>
      <c r="H238" s="28"/>
    </row>
    <row r="239" spans="7:8" ht="12.75">
      <c r="G239" s="28"/>
      <c r="H239" s="28"/>
    </row>
    <row r="240" spans="7:8" ht="12.75">
      <c r="G240" s="28"/>
      <c r="H240" s="28"/>
    </row>
    <row r="241" spans="7:8" ht="12.75">
      <c r="G241" s="28"/>
      <c r="H241" s="28"/>
    </row>
    <row r="242" spans="7:8" ht="12.75">
      <c r="G242" s="28"/>
      <c r="H242" s="28"/>
    </row>
    <row r="243" spans="7:8" ht="12.75">
      <c r="G243" s="28"/>
      <c r="H243" s="28"/>
    </row>
    <row r="244" spans="7:8" ht="12.75">
      <c r="G244" s="28"/>
      <c r="H244" s="28"/>
    </row>
    <row r="245" spans="7:8" ht="12.75">
      <c r="G245" s="28"/>
      <c r="H245" s="28"/>
    </row>
    <row r="246" spans="7:8" ht="12.75">
      <c r="G246" s="28"/>
      <c r="H246" s="28"/>
    </row>
    <row r="247" spans="7:8" ht="12.75">
      <c r="G247" s="28"/>
      <c r="H247" s="28"/>
    </row>
    <row r="248" spans="7:8" ht="12.75">
      <c r="G248" s="28"/>
      <c r="H248" s="28"/>
    </row>
    <row r="249" spans="7:8" ht="12.75">
      <c r="G249" s="28"/>
      <c r="H249" s="28"/>
    </row>
    <row r="250" spans="7:8" ht="12.75">
      <c r="G250" s="28"/>
      <c r="H250" s="28"/>
    </row>
    <row r="251" spans="7:8" ht="12.75">
      <c r="G251" s="28"/>
      <c r="H251" s="28"/>
    </row>
    <row r="252" spans="7:8" ht="12.75">
      <c r="G252" s="28"/>
      <c r="H252" s="28"/>
    </row>
    <row r="253" spans="7:8" ht="12.75">
      <c r="G253" s="28"/>
      <c r="H253" s="28"/>
    </row>
    <row r="254" spans="7:8" ht="12.75">
      <c r="G254" s="28"/>
      <c r="H254" s="28"/>
    </row>
    <row r="255" spans="7:8" ht="12.75">
      <c r="G255" s="28"/>
      <c r="H255" s="28"/>
    </row>
    <row r="256" spans="7:8" ht="12.75">
      <c r="G256" s="28"/>
      <c r="H256" s="28"/>
    </row>
    <row r="257" spans="7:8" ht="12.75">
      <c r="G257" s="28"/>
      <c r="H257" s="28"/>
    </row>
    <row r="258" spans="7:8" ht="12.75">
      <c r="G258" s="28"/>
      <c r="H258" s="28"/>
    </row>
    <row r="259" spans="7:8" ht="12.75">
      <c r="G259" s="28"/>
      <c r="H259" s="28"/>
    </row>
    <row r="260" spans="7:8" ht="12.75">
      <c r="G260" s="28"/>
      <c r="H260" s="28"/>
    </row>
    <row r="261" spans="7:8" ht="12.75">
      <c r="G261" s="28"/>
      <c r="H261" s="28"/>
    </row>
    <row r="262" spans="7:8" ht="12.75">
      <c r="G262" s="28"/>
      <c r="H262" s="28"/>
    </row>
    <row r="263" spans="7:8" ht="12.75">
      <c r="G263" s="28"/>
      <c r="H263" s="28"/>
    </row>
    <row r="264" spans="7:8" ht="12.75">
      <c r="G264" s="28"/>
      <c r="H264" s="28"/>
    </row>
    <row r="265" spans="7:8" ht="12.75">
      <c r="G265" s="28"/>
      <c r="H265" s="28"/>
    </row>
    <row r="266" spans="7:8" ht="12.75">
      <c r="G266" s="28"/>
      <c r="H266" s="28"/>
    </row>
    <row r="267" spans="7:8" ht="12.75">
      <c r="G267" s="28"/>
      <c r="H267" s="28"/>
    </row>
    <row r="268" spans="7:8" ht="12.75">
      <c r="G268" s="28"/>
      <c r="H268" s="28"/>
    </row>
    <row r="269" spans="7:8" ht="12.75">
      <c r="G269" s="28"/>
      <c r="H269" s="28"/>
    </row>
    <row r="270" spans="7:8" ht="12.75">
      <c r="G270" s="28"/>
      <c r="H270" s="28"/>
    </row>
    <row r="271" spans="7:8" ht="12.75">
      <c r="G271" s="28"/>
      <c r="H271" s="28"/>
    </row>
    <row r="272" spans="7:8" ht="12.75">
      <c r="G272" s="28"/>
      <c r="H272" s="28"/>
    </row>
    <row r="273" spans="7:8" ht="12.75">
      <c r="G273" s="28"/>
      <c r="H273" s="28"/>
    </row>
    <row r="274" spans="7:8" ht="12.75">
      <c r="G274" s="28"/>
      <c r="H274" s="28"/>
    </row>
    <row r="275" spans="7:8" ht="12.75">
      <c r="G275" s="28"/>
      <c r="H275" s="28"/>
    </row>
    <row r="276" spans="7:8" ht="12.75">
      <c r="G276" s="28"/>
      <c r="H276" s="28"/>
    </row>
    <row r="277" spans="7:8" ht="12.75">
      <c r="G277" s="28"/>
      <c r="H277" s="28"/>
    </row>
    <row r="278" spans="7:8" ht="12.75">
      <c r="G278" s="28"/>
      <c r="H278" s="28"/>
    </row>
    <row r="279" spans="7:8" ht="12.75">
      <c r="G279" s="28"/>
      <c r="H279" s="28"/>
    </row>
    <row r="280" spans="7:8" ht="12.75">
      <c r="G280" s="28"/>
      <c r="H280" s="28"/>
    </row>
    <row r="281" spans="7:8" ht="12.75">
      <c r="G281" s="28"/>
      <c r="H281" s="28"/>
    </row>
    <row r="282" spans="7:8" ht="12.75">
      <c r="G282" s="28"/>
      <c r="H282" s="28"/>
    </row>
    <row r="283" spans="7:8" ht="12.75">
      <c r="G283" s="28"/>
      <c r="H283" s="28"/>
    </row>
    <row r="284" spans="7:8" ht="12.75">
      <c r="G284" s="28"/>
      <c r="H284" s="28"/>
    </row>
    <row r="285" spans="7:8" ht="12.75">
      <c r="G285" s="28"/>
      <c r="H285" s="28"/>
    </row>
    <row r="286" spans="7:8" ht="12.75">
      <c r="G286" s="28"/>
      <c r="H286" s="28"/>
    </row>
    <row r="287" spans="7:8" ht="12.75">
      <c r="G287" s="28"/>
      <c r="H287" s="28"/>
    </row>
    <row r="288" spans="7:8" ht="12.75">
      <c r="G288" s="28"/>
      <c r="H288" s="28"/>
    </row>
    <row r="289" spans="7:8" ht="12.75">
      <c r="G289" s="28"/>
      <c r="H289" s="28"/>
    </row>
    <row r="290" spans="7:8" ht="12.75">
      <c r="G290" s="28"/>
      <c r="H290" s="28"/>
    </row>
    <row r="291" spans="7:8" ht="12.75">
      <c r="G291" s="28"/>
      <c r="H291" s="28"/>
    </row>
    <row r="292" spans="7:8" ht="12.75">
      <c r="G292" s="28"/>
      <c r="H292" s="28"/>
    </row>
    <row r="293" spans="7:8" ht="12.75">
      <c r="G293" s="28"/>
      <c r="H293" s="28"/>
    </row>
    <row r="294" spans="7:8" ht="12.75">
      <c r="G294" s="28"/>
      <c r="H294" s="28"/>
    </row>
    <row r="295" spans="7:8" ht="12.75">
      <c r="G295" s="28"/>
      <c r="H295" s="28"/>
    </row>
    <row r="296" spans="7:8" ht="12.75">
      <c r="G296" s="28"/>
      <c r="H296" s="28"/>
    </row>
    <row r="297" spans="7:8" ht="12.75">
      <c r="G297" s="28"/>
      <c r="H297" s="28"/>
    </row>
    <row r="298" spans="7:8" ht="12.75">
      <c r="G298" s="28"/>
      <c r="H298" s="28"/>
    </row>
    <row r="299" spans="7:8" ht="12.75">
      <c r="G299" s="28"/>
      <c r="H299" s="28"/>
    </row>
    <row r="300" spans="7:8" ht="12.75">
      <c r="G300" s="28"/>
      <c r="H300" s="28"/>
    </row>
    <row r="301" spans="7:8" ht="12.75">
      <c r="G301" s="28"/>
      <c r="H301" s="28"/>
    </row>
    <row r="302" spans="7:8" ht="12.75">
      <c r="G302" s="28"/>
      <c r="H302" s="28"/>
    </row>
    <row r="303" spans="7:8" ht="12.75">
      <c r="G303" s="28"/>
      <c r="H303" s="28"/>
    </row>
    <row r="304" spans="7:8" ht="12.75">
      <c r="G304" s="28"/>
      <c r="H304" s="28"/>
    </row>
    <row r="305" spans="7:8" ht="12.75">
      <c r="G305" s="28"/>
      <c r="H305" s="28"/>
    </row>
    <row r="306" spans="7:8" ht="12.75">
      <c r="G306" s="28"/>
      <c r="H306" s="28"/>
    </row>
    <row r="307" spans="7:8" ht="12.75">
      <c r="G307" s="28"/>
      <c r="H307" s="28"/>
    </row>
    <row r="308" spans="7:8" ht="12.75">
      <c r="G308" s="28"/>
      <c r="H308" s="28"/>
    </row>
    <row r="309" spans="7:8" ht="12.75">
      <c r="G309" s="28"/>
      <c r="H309" s="28"/>
    </row>
    <row r="310" spans="7:8" ht="12.75">
      <c r="G310" s="28"/>
      <c r="H310" s="28"/>
    </row>
    <row r="311" spans="7:8" ht="12.75">
      <c r="G311" s="28"/>
      <c r="H311" s="28"/>
    </row>
    <row r="312" spans="7:8" ht="12.75">
      <c r="G312" s="28"/>
      <c r="H312" s="28"/>
    </row>
    <row r="313" spans="7:8" ht="12.75">
      <c r="G313" s="28"/>
      <c r="H313" s="28"/>
    </row>
    <row r="314" spans="7:8" ht="12.75">
      <c r="G314" s="28"/>
      <c r="H314" s="28"/>
    </row>
    <row r="315" spans="7:8" ht="12.75">
      <c r="G315" s="28"/>
      <c r="H315" s="28"/>
    </row>
    <row r="316" spans="7:8" ht="12.75">
      <c r="G316" s="28"/>
      <c r="H316" s="28"/>
    </row>
    <row r="317" spans="7:8" ht="12.75">
      <c r="G317" s="28"/>
      <c r="H317" s="28"/>
    </row>
    <row r="318" spans="7:8" ht="12.75">
      <c r="G318" s="28"/>
      <c r="H318" s="28"/>
    </row>
    <row r="319" spans="7:8" ht="12.75">
      <c r="G319" s="28"/>
      <c r="H319" s="28"/>
    </row>
    <row r="320" spans="7:8" ht="12.75">
      <c r="G320" s="28"/>
      <c r="H320" s="28"/>
    </row>
    <row r="321" spans="7:8" ht="12.75">
      <c r="G321" s="28"/>
      <c r="H321" s="28"/>
    </row>
    <row r="322" spans="7:8" ht="12.75">
      <c r="G322" s="28"/>
      <c r="H322" s="28"/>
    </row>
    <row r="323" spans="7:8" ht="12.75">
      <c r="G323" s="28"/>
      <c r="H323" s="28"/>
    </row>
    <row r="324" spans="7:8" ht="12.75">
      <c r="G324" s="28"/>
      <c r="H324" s="28"/>
    </row>
    <row r="325" spans="7:8" ht="12.75">
      <c r="G325" s="28"/>
      <c r="H325" s="28"/>
    </row>
    <row r="326" spans="7:8" ht="12.75">
      <c r="G326" s="28"/>
      <c r="H326" s="28"/>
    </row>
    <row r="327" spans="7:8" ht="12.75">
      <c r="G327" s="28"/>
      <c r="H327" s="28"/>
    </row>
    <row r="328" spans="7:8" ht="12.75">
      <c r="G328" s="28"/>
      <c r="H328" s="28"/>
    </row>
    <row r="329" spans="7:8" ht="12.75">
      <c r="G329" s="28"/>
      <c r="H329" s="28"/>
    </row>
    <row r="330" spans="7:8" ht="12.75">
      <c r="G330" s="28"/>
      <c r="H330" s="28"/>
    </row>
    <row r="331" spans="7:8" ht="12.75">
      <c r="G331" s="28"/>
      <c r="H331" s="28"/>
    </row>
    <row r="332" spans="7:8" ht="12.75">
      <c r="G332" s="28"/>
      <c r="H332" s="28"/>
    </row>
    <row r="333" spans="7:8" ht="12.75">
      <c r="G333" s="28"/>
      <c r="H333" s="28"/>
    </row>
    <row r="334" spans="7:8" ht="12.75">
      <c r="G334" s="28"/>
      <c r="H334" s="28"/>
    </row>
    <row r="335" spans="7:8" ht="12.75">
      <c r="G335" s="28"/>
      <c r="H335" s="28"/>
    </row>
    <row r="336" spans="7:8" ht="12.75">
      <c r="G336" s="28"/>
      <c r="H336" s="28"/>
    </row>
    <row r="337" spans="7:8" ht="12.75">
      <c r="G337" s="28"/>
      <c r="H337" s="28"/>
    </row>
    <row r="338" spans="7:8" ht="12.75">
      <c r="G338" s="28"/>
      <c r="H338" s="28"/>
    </row>
    <row r="339" spans="7:8" ht="12.75">
      <c r="G339" s="28"/>
      <c r="H339" s="28"/>
    </row>
    <row r="340" spans="7:8" ht="12.75">
      <c r="G340" s="28"/>
      <c r="H340" s="28"/>
    </row>
    <row r="341" spans="7:8" ht="12.75">
      <c r="G341" s="28"/>
      <c r="H341" s="28"/>
    </row>
    <row r="342" spans="7:8" ht="12.75">
      <c r="G342" s="28"/>
      <c r="H342" s="28"/>
    </row>
    <row r="343" spans="7:8" ht="12.75">
      <c r="G343" s="28"/>
      <c r="H343" s="28"/>
    </row>
    <row r="344" spans="7:8" ht="12.75">
      <c r="G344" s="28"/>
      <c r="H344" s="28"/>
    </row>
    <row r="345" spans="7:8" ht="12.75">
      <c r="G345" s="28"/>
      <c r="H345" s="28"/>
    </row>
    <row r="346" spans="7:8" ht="12.75">
      <c r="G346" s="28"/>
      <c r="H346" s="28"/>
    </row>
    <row r="347" spans="7:8" ht="12.75">
      <c r="G347" s="28"/>
      <c r="H347" s="28"/>
    </row>
    <row r="348" spans="7:8" ht="12.75">
      <c r="G348" s="28"/>
      <c r="H348" s="28"/>
    </row>
    <row r="349" spans="7:8" ht="12.75">
      <c r="G349" s="28"/>
      <c r="H349" s="28"/>
    </row>
    <row r="350" spans="7:8" ht="12.75">
      <c r="G350" s="28"/>
      <c r="H350" s="28"/>
    </row>
    <row r="351" spans="7:8" ht="12.75">
      <c r="G351" s="28"/>
      <c r="H351" s="28"/>
    </row>
    <row r="352" spans="7:8" ht="12.75">
      <c r="G352" s="28"/>
      <c r="H352" s="28"/>
    </row>
    <row r="353" spans="7:8" ht="12.75">
      <c r="G353" s="28"/>
      <c r="H353" s="28"/>
    </row>
    <row r="354" spans="7:8" ht="12.75">
      <c r="G354" s="28"/>
      <c r="H354" s="28"/>
    </row>
    <row r="355" spans="7:8" ht="12.75">
      <c r="G355" s="28"/>
      <c r="H355" s="28"/>
    </row>
    <row r="356" spans="7:8" ht="12.75">
      <c r="G356" s="28"/>
      <c r="H356" s="28"/>
    </row>
    <row r="357" spans="7:8" ht="12.75">
      <c r="G357" s="28"/>
      <c r="H357" s="28"/>
    </row>
    <row r="358" spans="7:8" ht="12.75">
      <c r="G358" s="28"/>
      <c r="H358" s="28"/>
    </row>
    <row r="359" spans="7:8" ht="12.75">
      <c r="G359" s="28"/>
      <c r="H359" s="28"/>
    </row>
    <row r="360" spans="7:8" ht="12.75">
      <c r="G360" s="28"/>
      <c r="H360" s="28"/>
    </row>
    <row r="361" spans="7:8" ht="12.75">
      <c r="G361" s="28"/>
      <c r="H361" s="28"/>
    </row>
    <row r="362" spans="7:8" ht="12.75">
      <c r="G362" s="28"/>
      <c r="H362" s="28"/>
    </row>
    <row r="363" spans="7:8" ht="12.75">
      <c r="G363" s="28"/>
      <c r="H363" s="28"/>
    </row>
    <row r="364" spans="7:8" ht="12.75">
      <c r="G364" s="28"/>
      <c r="H364" s="28"/>
    </row>
    <row r="365" spans="7:8" ht="12.75">
      <c r="G365" s="28"/>
      <c r="H365" s="28"/>
    </row>
    <row r="366" spans="7:8" ht="12.75">
      <c r="G366" s="28"/>
      <c r="H366" s="28"/>
    </row>
    <row r="367" spans="7:8" ht="12.75">
      <c r="G367" s="28"/>
      <c r="H367" s="28"/>
    </row>
    <row r="368" spans="7:8" ht="12.75">
      <c r="G368" s="28"/>
      <c r="H368" s="28"/>
    </row>
    <row r="369" spans="7:8" ht="12.75">
      <c r="G369" s="28"/>
      <c r="H369" s="28"/>
    </row>
    <row r="370" spans="7:8" ht="12.75">
      <c r="G370" s="28"/>
      <c r="H370" s="28"/>
    </row>
    <row r="371" spans="7:8" ht="12.75">
      <c r="G371" s="28"/>
      <c r="H371" s="28"/>
    </row>
    <row r="372" spans="7:8" ht="12.75">
      <c r="G372" s="28"/>
      <c r="H372" s="28"/>
    </row>
    <row r="373" spans="7:8" ht="12.75">
      <c r="G373" s="28"/>
      <c r="H373" s="28"/>
    </row>
    <row r="374" spans="7:8" ht="12.75">
      <c r="G374" s="28"/>
      <c r="H374" s="28"/>
    </row>
    <row r="375" spans="7:8" ht="12.75">
      <c r="G375" s="28"/>
      <c r="H375" s="28"/>
    </row>
    <row r="376" spans="7:8" ht="12.75">
      <c r="G376" s="28"/>
      <c r="H376" s="28"/>
    </row>
    <row r="377" spans="7:8" ht="12.75">
      <c r="G377" s="28"/>
      <c r="H377" s="28"/>
    </row>
    <row r="378" spans="7:8" ht="12.75">
      <c r="G378" s="28"/>
      <c r="H378" s="28"/>
    </row>
    <row r="379" spans="7:8" ht="12.75">
      <c r="G379" s="28"/>
      <c r="H379" s="28"/>
    </row>
    <row r="380" spans="7:8" ht="12.75">
      <c r="G380" s="28"/>
      <c r="H380" s="28"/>
    </row>
    <row r="381" spans="7:8" ht="12.75">
      <c r="G381" s="28"/>
      <c r="H381" s="28"/>
    </row>
    <row r="382" spans="7:8" ht="12.75">
      <c r="G382" s="28"/>
      <c r="H382" s="28"/>
    </row>
    <row r="383" spans="7:8" ht="12.75">
      <c r="G383" s="28"/>
      <c r="H383" s="28"/>
    </row>
    <row r="384" spans="7:8" ht="12.75">
      <c r="G384" s="28"/>
      <c r="H384" s="28"/>
    </row>
    <row r="385" spans="7:8" ht="12.75">
      <c r="G385" s="28"/>
      <c r="H385" s="28"/>
    </row>
    <row r="386" spans="7:8" ht="12.75">
      <c r="G386" s="28"/>
      <c r="H386" s="28"/>
    </row>
    <row r="387" spans="7:8" ht="12.75">
      <c r="G387" s="28"/>
      <c r="H387" s="28"/>
    </row>
    <row r="388" spans="7:8" ht="12.75">
      <c r="G388" s="28"/>
      <c r="H388" s="28"/>
    </row>
    <row r="389" spans="7:8" ht="12.75">
      <c r="G389" s="28"/>
      <c r="H389" s="28"/>
    </row>
    <row r="390" spans="7:8" ht="12.75">
      <c r="G390" s="28"/>
      <c r="H390" s="2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Q26" sqref="Q26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624159.9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374610.3000000001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0" sqref="Q3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32" sqref="Q3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31" sqref="R3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9" sqref="R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25" sqref="P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6" sqref="Q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K46" sqref="K46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24" sqref="Q24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624159.9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374610.3000000001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2014-07-14T14:08:38Z</cp:lastPrinted>
  <dcterms:created xsi:type="dcterms:W3CDTF">2000-06-20T04:48:00Z</dcterms:created>
  <dcterms:modified xsi:type="dcterms:W3CDTF">2014-07-30T12:18:58Z</dcterms:modified>
  <cp:category/>
  <cp:version/>
  <cp:contentType/>
  <cp:contentStatus/>
</cp:coreProperties>
</file>